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firstSheet="1" activeTab="2"/>
  </bookViews>
  <sheets>
    <sheet name="IS-31Jun" sheetId="1" r:id="rId1"/>
    <sheet name="CIS-31Jun" sheetId="2" r:id="rId2"/>
    <sheet name="CBS-Jun" sheetId="3" r:id="rId3"/>
    <sheet name="CF-30Jun" sheetId="4" r:id="rId4"/>
    <sheet name="Equity-Jun" sheetId="5" r:id="rId5"/>
  </sheets>
  <externalReferences>
    <externalReference r:id="rId8"/>
  </externalReferences>
  <definedNames>
    <definedName name="Note1">#REF!</definedName>
    <definedName name="_xlnm.Print_Area" localSheetId="2">'CBS-Jun'!$B$1:$K$73</definedName>
    <definedName name="_xlnm.Print_Area" localSheetId="3">'CF-30Jun'!$A$1:$AX$64</definedName>
    <definedName name="_xlnm.Print_Area" localSheetId="1">'CIS-31Jun'!$A$1:$F$58</definedName>
    <definedName name="_xlnm.Print_Area" localSheetId="4">'Equity-Jun'!$A$1:$I$39</definedName>
    <definedName name="_xlnm.Print_Titles" localSheetId="3">'CF-30Jun'!$1:$12</definedName>
  </definedNames>
  <calcPr fullCalcOnLoad="1"/>
</workbook>
</file>

<file path=xl/sharedStrings.xml><?xml version="1.0" encoding="utf-8"?>
<sst xmlns="http://schemas.openxmlformats.org/spreadsheetml/2006/main" count="499" uniqueCount="225">
  <si>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</si>
  <si>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</si>
  <si>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</si>
  <si>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</si>
  <si>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</si>
  <si>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</si>
  <si>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</si>
  <si>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</si>
  <si>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</si>
  <si>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</si>
  <si>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</si>
  <si>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</si>
  <si>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</si>
  <si>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31.03.2004</t>
  </si>
  <si>
    <t>RM'000</t>
  </si>
  <si>
    <t>Revenue</t>
  </si>
  <si>
    <t>Operating Expenses</t>
  </si>
  <si>
    <t>Other Operating Income</t>
  </si>
  <si>
    <t>Profit from operating Income</t>
  </si>
  <si>
    <t>Share of profit/(loss) of associates</t>
  </si>
  <si>
    <t>Finance Cost</t>
  </si>
  <si>
    <t xml:space="preserve"> </t>
  </si>
  <si>
    <t>Profit before taxation</t>
  </si>
  <si>
    <t>Taxation</t>
  </si>
  <si>
    <t>Net Profit / (Loss) for the period</t>
  </si>
  <si>
    <t>Basic earnings per share (sen)</t>
  </si>
  <si>
    <t>Diluted earnings per share (sen)</t>
  </si>
  <si>
    <t>Dividend per share (sen)</t>
  </si>
  <si>
    <t xml:space="preserve">RUBY QUEST BERHAD  </t>
  </si>
  <si>
    <t>(Company No.412406-T)</t>
  </si>
  <si>
    <t>(The figures have not been audited)</t>
  </si>
  <si>
    <t>N/A</t>
  </si>
  <si>
    <t>Depreciation</t>
  </si>
  <si>
    <t xml:space="preserve">Amortisation of Intangible Assets </t>
  </si>
  <si>
    <t>Other Operating Expenses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</si>
  <si>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</si>
  <si>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</si>
  <si>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</si>
  <si>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</si>
  <si>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</si>
  <si>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</si>
  <si>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HOLDING</t>
  </si>
  <si>
    <t>SUBSIDIARIES</t>
  </si>
  <si>
    <t>Quest</t>
  </si>
  <si>
    <t>Ruby Quest Group's Consolidated adjustments</t>
  </si>
  <si>
    <t>Current Quarter</t>
  </si>
  <si>
    <t>Equipment &amp;</t>
  </si>
  <si>
    <t>Quest Liquid</t>
  </si>
  <si>
    <t>Ruby Quest</t>
  </si>
  <si>
    <t>Technology</t>
  </si>
  <si>
    <t>Services</t>
  </si>
  <si>
    <t>Vokes Air</t>
  </si>
  <si>
    <t>Separation</t>
  </si>
  <si>
    <t>Filters</t>
  </si>
  <si>
    <t>RM' 000</t>
  </si>
  <si>
    <t>NON CURRENT ASSETS</t>
  </si>
  <si>
    <t>Plant &amp; equipment</t>
  </si>
  <si>
    <t>Investments in subsidiaries</t>
  </si>
  <si>
    <t>Investments in associates</t>
  </si>
  <si>
    <t>Deferred tax assets</t>
  </si>
  <si>
    <t>Goodwill on consolidation</t>
  </si>
  <si>
    <t>CURRENT ASSETS</t>
  </si>
  <si>
    <t>Inventories</t>
  </si>
  <si>
    <t>Trade debtors</t>
  </si>
  <si>
    <t>Other debtors, deposits and prepayments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</si>
  <si>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</si>
  <si>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</si>
  <si>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</si>
  <si>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</si>
  <si>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</si>
  <si>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</si>
  <si>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</si>
  <si>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Trade creditors</t>
  </si>
  <si>
    <t>Other creditors and accruals</t>
  </si>
  <si>
    <t>Amount due to subsidiaries</t>
  </si>
  <si>
    <t>Amount due to related companies</t>
  </si>
  <si>
    <t>Amount due to associates</t>
  </si>
  <si>
    <t>Amount due to directors</t>
  </si>
  <si>
    <t>Provision for royalty</t>
  </si>
  <si>
    <t>Provision for taxation</t>
  </si>
  <si>
    <t xml:space="preserve">Borrowings </t>
  </si>
  <si>
    <t>NET CURRENT ASSETS</t>
  </si>
  <si>
    <t>Borrowings (secured)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</si>
  <si>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</si>
  <si>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</si>
  <si>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</si>
  <si>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</si>
  <si>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</si>
  <si>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</si>
  <si>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</si>
  <si>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</si>
  <si>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</si>
  <si>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</si>
  <si>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Net tangible assets per share of RM0.10 each (sen)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</si>
  <si>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</si>
  <si>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</si>
  <si>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</si>
  <si>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RM</t>
  </si>
  <si>
    <t>Consolidated</t>
  </si>
  <si>
    <t>Operating activities</t>
  </si>
  <si>
    <t>Profit / (Loss) before taxation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</si>
  <si>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</si>
  <si>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</si>
  <si>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</si>
  <si>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</si>
  <si>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</si>
  <si>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</si>
  <si>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Plant &amp; equipment written off</t>
  </si>
  <si>
    <t>Provision for royalty expenses</t>
  </si>
  <si>
    <t>Operating profit / (loss) before working capital changes</t>
  </si>
  <si>
    <t>Inventories  (Increase)/Decrease</t>
  </si>
  <si>
    <t>Debtors  (Increase)/Decrease</t>
  </si>
  <si>
    <t>Creditors - Increase/(Decrease)</t>
  </si>
  <si>
    <t>Amount due to director</t>
  </si>
  <si>
    <t>Related companies balances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</si>
  <si>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</si>
  <si>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</si>
  <si>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</si>
  <si>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</si>
  <si>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</si>
  <si>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</si>
  <si>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</si>
  <si>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</si>
  <si>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(Addition) / Withdrawal of FDs pledged to financial inst.</t>
  </si>
  <si>
    <t>Additional investments in subsidiaries</t>
  </si>
  <si>
    <t>#</t>
  </si>
  <si>
    <t>Net cash flows from / (used in) financing activities</t>
  </si>
  <si>
    <t>Financing actitivites</t>
  </si>
  <si>
    <t>Repayment of hire purchase liabilities</t>
  </si>
  <si>
    <t>***</t>
  </si>
  <si>
    <t>Repayment of term loan</t>
  </si>
  <si>
    <t>Proceeds from disposal of fixed assets</t>
  </si>
  <si>
    <t>Net drawdown of bankers acceptances</t>
  </si>
  <si>
    <t>Listing expenses</t>
  </si>
  <si>
    <t>Net cash from / (used in) financing activities</t>
  </si>
  <si>
    <t>Net increase / (decrease) in cash and cash equivalents</t>
  </si>
  <si>
    <t>Cash and cash equivalents at beginning of year</t>
  </si>
  <si>
    <t>Cash and cash equivalents at end of year comprise:-</t>
  </si>
  <si>
    <t>* - Non-cash transactions</t>
  </si>
  <si>
    <t>Purchase of property, plant and equipment</t>
  </si>
  <si>
    <t>Less : Financed by hire purchase arrangement</t>
  </si>
  <si>
    <t>Cash used</t>
  </si>
  <si>
    <t># - Additional investments in subsidiaries</t>
  </si>
  <si>
    <t>Total purchase consideration</t>
  </si>
  <si>
    <t>Less: Credited to "Amount due to subsidiaries"</t>
  </si>
  <si>
    <t>^ - Issue of ordinary shares</t>
  </si>
  <si>
    <t>Proceeds from issue of shares</t>
  </si>
  <si>
    <t>Less: Credited to "Amount due from related co."</t>
  </si>
  <si>
    <t>Repayment of HP - incls. interest and principal</t>
  </si>
  <si>
    <t>Control</t>
  </si>
  <si>
    <t>CONDENSED CONSOLIDATED CASH FLOWS STATEMENT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</si>
  <si>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</si>
  <si>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</si>
  <si>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</si>
  <si>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</si>
  <si>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</si>
  <si>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</si>
  <si>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</si>
  <si>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Profit/ (loss) before taxation</t>
  </si>
  <si>
    <t>interest</t>
  </si>
  <si>
    <t>Profit /(loss) after tax and minority</t>
  </si>
  <si>
    <t>As At End of</t>
  </si>
  <si>
    <t>As At Preceding</t>
  </si>
  <si>
    <t>Financial Year</t>
  </si>
  <si>
    <t>End</t>
  </si>
  <si>
    <t>The net tangible assets per share as at preceding financial year end is calculated by dividing the net tangible</t>
  </si>
  <si>
    <t>Net tangible assets per share (RM)</t>
  </si>
  <si>
    <t xml:space="preserve">assets against the total issued paid-up capital of the Company of 414,678 ordinary shares of RM1.00 each as at </t>
  </si>
  <si>
    <t>preceding financial year end.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</si>
  <si>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</si>
  <si>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</si>
  <si>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</si>
  <si>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</si>
  <si>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</si>
  <si>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</si>
  <si>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</si>
  <si>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</si>
  <si>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</si>
  <si>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</si>
  <si>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</si>
  <si>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(The Condensed Consolidated Statements of Changes in Equity should be read in conjunction with</t>
  </si>
  <si>
    <t>the audited financial statements of QUEST for the year ended 31 December 2004).</t>
  </si>
  <si>
    <t>Balance as at 1 January 2005</t>
  </si>
  <si>
    <t>Bonus Issue</t>
  </si>
  <si>
    <t>Acquisition of subsidiaries</t>
  </si>
  <si>
    <t>via share swap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</si>
  <si>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</si>
  <si>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financial </t>
  </si>
  <si>
    <t>statements for QUEST for the year ended 31 December 2004.</t>
  </si>
  <si>
    <t>30.06.2005</t>
  </si>
  <si>
    <t>IPO Proceeds</t>
  </si>
  <si>
    <t>Appendixes</t>
  </si>
  <si>
    <t>C</t>
  </si>
  <si>
    <t>D</t>
  </si>
  <si>
    <t>E</t>
  </si>
  <si>
    <t>F</t>
  </si>
  <si>
    <t>G</t>
  </si>
  <si>
    <t>H</t>
  </si>
  <si>
    <t>I</t>
  </si>
  <si>
    <t>J</t>
  </si>
  <si>
    <t>From B/S</t>
  </si>
  <si>
    <t>A</t>
  </si>
  <si>
    <t>B</t>
  </si>
  <si>
    <t>From P/L</t>
  </si>
  <si>
    <t>FOR THE 2ND QUARTER ENDED 30 JUNE 2005</t>
  </si>
  <si>
    <t>Balance as at 30 June 2005</t>
  </si>
  <si>
    <t>Public Issue</t>
  </si>
  <si>
    <t>Share Issue Expenses</t>
  </si>
  <si>
    <t>only RQ</t>
  </si>
  <si>
    <t>30.06.2004</t>
  </si>
  <si>
    <t>No comparative figure is presented as this is the Company's second quarterly report to Bursa Malaysia Securities Berhad.</t>
  </si>
  <si>
    <t>As At 30 June 2005</t>
  </si>
  <si>
    <t>CONDENSED CONSOLIDATED BALANCE SHEETS  AS AT 30 JUNE 2005</t>
  </si>
  <si>
    <t>No comparative figure is presented as this is the Company's second quarterly report.</t>
  </si>
  <si>
    <t>No comparative figures is presented as this is the Company's second quarterly report.</t>
  </si>
  <si>
    <t xml:space="preserve">  </t>
  </si>
  <si>
    <t>K</t>
  </si>
  <si>
    <t>L</t>
  </si>
  <si>
    <t>* Denotes (RM 132)</t>
  </si>
  <si>
    <t>* Denotes - loss of RM 132</t>
  </si>
  <si>
    <t xml:space="preserve">CONDENSED CONSOLIDATED INCOME STATEMENT </t>
  </si>
  <si>
    <t>FOR THE SECOND QUARTER ENDED 30 JUNE 2005</t>
  </si>
  <si>
    <t>Unaudited</t>
  </si>
  <si>
    <t xml:space="preserve">As at </t>
  </si>
  <si>
    <t>31.12.2004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</si>
</sst>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15" applyNumberFormat="1" applyAlignment="1">
      <alignment/>
    </xf>
    <xf numFmtId="0" fontId="12" fillId="0" borderId="0" xfId="0" applyFont="1" applyAlignment="1">
      <alignment horizontal="right"/>
    </xf>
    <xf numFmtId="41" fontId="0" fillId="0" borderId="2" xfId="15" applyNumberFormat="1" applyBorder="1" applyAlignment="1">
      <alignment/>
    </xf>
    <xf numFmtId="0" fontId="0" fillId="0" borderId="2" xfId="0" applyBorder="1" applyAlignment="1">
      <alignment horizontal="right"/>
    </xf>
    <xf numFmtId="39" fontId="0" fillId="0" borderId="0" xfId="15" applyNumberFormat="1" applyAlignment="1">
      <alignment/>
    </xf>
    <xf numFmtId="41" fontId="0" fillId="0" borderId="0" xfId="15" applyNumberFormat="1" applyAlignment="1">
      <alignment horizontal="right"/>
    </xf>
    <xf numFmtId="41" fontId="0" fillId="0" borderId="0" xfId="15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170" fontId="13" fillId="0" borderId="0" xfId="15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170" fontId="5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/>
    </xf>
    <xf numFmtId="170" fontId="15" fillId="0" borderId="0" xfId="15" applyNumberFormat="1" applyFont="1" applyAlignment="1">
      <alignment horizontal="center"/>
    </xf>
    <xf numFmtId="0" fontId="15" fillId="0" borderId="0" xfId="0" applyFont="1" applyAlignment="1">
      <alignment/>
    </xf>
    <xf numFmtId="170" fontId="0" fillId="4" borderId="0" xfId="15" applyNumberFormat="1" applyFont="1" applyFill="1" applyAlignment="1">
      <alignment/>
    </xf>
    <xf numFmtId="170" fontId="0" fillId="0" borderId="2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170" fontId="0" fillId="0" borderId="7" xfId="15" applyNumberFormat="1" applyFont="1" applyBorder="1" applyAlignment="1">
      <alignment/>
    </xf>
    <xf numFmtId="170" fontId="0" fillId="0" borderId="0" xfId="15" applyNumberFormat="1" applyFont="1" applyFill="1" applyBorder="1" applyAlignment="1">
      <alignment/>
    </xf>
    <xf numFmtId="4" fontId="0" fillId="0" borderId="8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170" fontId="13" fillId="0" borderId="0" xfId="15" applyNumberFormat="1" applyFont="1" applyFill="1" applyAlignment="1">
      <alignment/>
    </xf>
    <xf numFmtId="0" fontId="7" fillId="0" borderId="0" xfId="0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Fill="1" applyAlignment="1">
      <alignment/>
    </xf>
    <xf numFmtId="170" fontId="0" fillId="5" borderId="0" xfId="15" applyNumberFormat="1" applyFont="1" applyFill="1" applyAlignment="1">
      <alignment/>
    </xf>
    <xf numFmtId="170" fontId="15" fillId="0" borderId="0" xfId="15" applyNumberFormat="1" applyFont="1" applyAlignment="1">
      <alignment horizontal="left" vertical="top"/>
    </xf>
    <xf numFmtId="170" fontId="0" fillId="0" borderId="0" xfId="15" applyNumberFormat="1" applyFont="1" applyAlignment="1">
      <alignment horizontal="left" vertical="top"/>
    </xf>
    <xf numFmtId="170" fontId="5" fillId="0" borderId="0" xfId="15" applyNumberFormat="1" applyFont="1" applyFill="1" applyAlignment="1">
      <alignment horizontal="left" vertical="top"/>
    </xf>
    <xf numFmtId="170" fontId="5" fillId="0" borderId="0" xfId="15" applyNumberFormat="1" applyFont="1" applyFill="1" applyBorder="1" applyAlignment="1">
      <alignment horizontal="left" vertical="top"/>
    </xf>
    <xf numFmtId="170" fontId="0" fillId="0" borderId="0" xfId="15" applyNumberFormat="1" applyFont="1" applyFill="1" applyAlignment="1">
      <alignment horizontal="left" vertical="top"/>
    </xf>
    <xf numFmtId="170" fontId="15" fillId="0" borderId="0" xfId="15" applyNumberFormat="1" applyFont="1" applyFill="1" applyAlignment="1">
      <alignment horizontal="right" vertical="top"/>
    </xf>
    <xf numFmtId="170" fontId="0" fillId="0" borderId="0" xfId="15" applyNumberFormat="1" applyFont="1" applyAlignment="1" quotePrefix="1">
      <alignment/>
    </xf>
    <xf numFmtId="170" fontId="0" fillId="0" borderId="2" xfId="15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70" fontId="0" fillId="6" borderId="0" xfId="15" applyNumberFormat="1" applyFont="1" applyFill="1" applyAlignment="1">
      <alignment/>
    </xf>
    <xf numFmtId="170" fontId="0" fillId="0" borderId="9" xfId="15" applyNumberFormat="1" applyFont="1" applyBorder="1" applyAlignment="1">
      <alignment/>
    </xf>
    <xf numFmtId="0" fontId="0" fillId="0" borderId="0" xfId="0" applyFont="1" applyAlignment="1">
      <alignment horizontal="left"/>
    </xf>
    <xf numFmtId="170" fontId="0" fillId="0" borderId="7" xfId="15" applyNumberFormat="1" applyFont="1" applyFill="1" applyBorder="1" applyAlignment="1">
      <alignment/>
    </xf>
    <xf numFmtId="0" fontId="16" fillId="0" borderId="0" xfId="0" applyFont="1" applyAlignment="1">
      <alignment/>
    </xf>
    <xf numFmtId="170" fontId="0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4" fontId="1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18" fillId="0" borderId="0" xfId="0" applyFont="1" applyAlignment="1">
      <alignment horizontal="center"/>
    </xf>
    <xf numFmtId="170" fontId="5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/>
    </xf>
    <xf numFmtId="38" fontId="0" fillId="0" borderId="0" xfId="0" applyNumberFormat="1" applyFill="1" applyAlignment="1">
      <alignment/>
    </xf>
    <xf numFmtId="4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0" fontId="0" fillId="0" borderId="4" xfId="15" applyNumberFormat="1" applyFont="1" applyBorder="1" applyAlignment="1">
      <alignment horizontal="center"/>
    </xf>
    <xf numFmtId="170" fontId="0" fillId="0" borderId="5" xfId="15" applyNumberFormat="1" applyFont="1" applyBorder="1" applyAlignment="1">
      <alignment horizontal="center"/>
    </xf>
    <xf numFmtId="170" fontId="0" fillId="0" borderId="1" xfId="15" applyNumberFormat="1" applyFont="1" applyBorder="1" applyAlignment="1">
      <alignment horizontal="center"/>
    </xf>
    <xf numFmtId="170" fontId="0" fillId="0" borderId="6" xfId="15" applyNumberFormat="1" applyFont="1" applyBorder="1" applyAlignment="1">
      <alignment horizontal="center"/>
    </xf>
    <xf numFmtId="170" fontId="0" fillId="0" borderId="7" xfId="15" applyNumberFormat="1" applyFont="1" applyBorder="1" applyAlignment="1">
      <alignment horizontal="center"/>
    </xf>
    <xf numFmtId="4" fontId="0" fillId="0" borderId="8" xfId="15" applyNumberFormat="1" applyFont="1" applyBorder="1" applyAlignment="1">
      <alignment horizontal="center"/>
    </xf>
    <xf numFmtId="170" fontId="0" fillId="0" borderId="5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3" xfId="15" applyNumberFormat="1" applyFont="1" applyBorder="1" applyAlignment="1">
      <alignment horizontal="center"/>
    </xf>
    <xf numFmtId="170" fontId="0" fillId="0" borderId="9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43" fontId="15" fillId="0" borderId="0" xfId="15" applyFont="1" applyFill="1" applyAlignment="1">
      <alignment horizontal="center" vertical="top" wrapText="1"/>
    </xf>
    <xf numFmtId="43" fontId="0" fillId="0" borderId="0" xfId="15" applyFont="1" applyFill="1" applyAlignment="1">
      <alignment horizontal="center" vertical="top" wrapText="1"/>
    </xf>
    <xf numFmtId="170" fontId="15" fillId="0" borderId="0" xfId="15" applyNumberFormat="1" applyFont="1" applyFill="1" applyAlignment="1">
      <alignment horizontal="center" vertical="top"/>
    </xf>
    <xf numFmtId="0" fontId="15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13</xdr:row>
      <xdr:rowOff>76200</xdr:rowOff>
    </xdr:from>
    <xdr:to>
      <xdr:col>48</xdr:col>
      <xdr:colOff>95250</xdr:colOff>
      <xdr:row>22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229225" y="2333625"/>
          <a:ext cx="0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95250</xdr:rowOff>
    </xdr:from>
    <xdr:to>
      <xdr:col>48</xdr:col>
      <xdr:colOff>76200</xdr:colOff>
      <xdr:row>28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29225" y="4295775"/>
          <a:ext cx="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66675</xdr:rowOff>
    </xdr:from>
    <xdr:to>
      <xdr:col>48</xdr:col>
      <xdr:colOff>76200</xdr:colOff>
      <xdr:row>34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229225" y="5238750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66675</xdr:rowOff>
    </xdr:from>
    <xdr:to>
      <xdr:col>48</xdr:col>
      <xdr:colOff>76200</xdr:colOff>
      <xdr:row>61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229225" y="9296400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Ian\Local%20Settings\Temporary%20Internet%20Files\OLKF8\CONSOL-200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8">
      <selection activeCell="G45" sqref="G45"/>
    </sheetView>
  </sheetViews>
  <sheetFormatPr defaultColWidth="9.140625" defaultRowHeight="12.75"/>
  <cols>
    <col min="1" max="1" width="30.140625" style="0" customWidth="1"/>
    <col min="2" max="2" width="2.421875" style="0" customWidth="1"/>
    <col min="3" max="3" width="13.7109375" style="0" customWidth="1"/>
    <col min="4" max="4" width="2.28125" style="0" customWidth="1"/>
    <col min="5" max="5" width="13.7109375" style="0" customWidth="1"/>
    <col min="6" max="6" width="2.421875" style="0" customWidth="1"/>
    <col min="7" max="7" width="13.7109375" style="0" customWidth="1"/>
    <col min="8" max="8" width="2.140625" style="0" customWidth="1"/>
    <col min="9" max="9" width="13.7109375" style="0" customWidth="1"/>
  </cols>
  <sheetData>
    <row r="1" spans="1:9" ht="15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2" t="s">
        <v>1</v>
      </c>
      <c r="B3" s="102"/>
      <c r="C3" s="102"/>
      <c r="D3" s="102"/>
      <c r="E3" s="102"/>
      <c r="F3" s="102"/>
      <c r="G3" s="102"/>
      <c r="H3" s="102"/>
      <c r="I3" s="102"/>
    </row>
    <row r="4" spans="1:9" ht="15">
      <c r="A4" s="101" t="s">
        <v>2</v>
      </c>
      <c r="B4" s="101"/>
      <c r="C4" s="101"/>
      <c r="D4" s="101"/>
      <c r="E4" s="101"/>
      <c r="F4" s="101"/>
      <c r="G4" s="101"/>
      <c r="H4" s="101"/>
      <c r="I4" s="101"/>
    </row>
    <row r="6" spans="1:9" ht="12.75">
      <c r="A6" s="99" t="s">
        <v>157</v>
      </c>
      <c r="B6" s="99"/>
      <c r="C6" s="99"/>
      <c r="D6" s="99"/>
      <c r="E6" s="99"/>
      <c r="F6" s="99"/>
      <c r="G6" s="99"/>
      <c r="H6" s="99"/>
      <c r="I6" s="99"/>
    </row>
    <row r="7" spans="1:9" ht="12.75">
      <c r="A7" s="99" t="s">
        <v>211</v>
      </c>
      <c r="B7" s="99"/>
      <c r="C7" s="99"/>
      <c r="D7" s="99"/>
      <c r="E7" s="99"/>
      <c r="F7" s="99"/>
      <c r="G7" s="99"/>
      <c r="H7" s="99"/>
      <c r="I7" s="99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10" spans="3:10" ht="12.75">
      <c r="C10" s="99" t="s">
        <v>3</v>
      </c>
      <c r="D10" s="99"/>
      <c r="E10" s="99"/>
      <c r="F10" s="2"/>
      <c r="G10" s="99" t="s">
        <v>4</v>
      </c>
      <c r="H10" s="99"/>
      <c r="I10" s="99"/>
      <c r="J10" s="3"/>
    </row>
    <row r="11" spans="3:9" s="4" customFormat="1" ht="12">
      <c r="C11" s="5" t="s">
        <v>5</v>
      </c>
      <c r="D11" s="5"/>
      <c r="E11" s="5" t="s">
        <v>6</v>
      </c>
      <c r="F11" s="5"/>
      <c r="G11" s="5" t="s">
        <v>5</v>
      </c>
      <c r="H11" s="5"/>
      <c r="I11" s="5" t="s">
        <v>6</v>
      </c>
    </row>
    <row r="12" spans="3:9" s="4" customFormat="1" ht="12">
      <c r="C12" s="5" t="s">
        <v>7</v>
      </c>
      <c r="D12" s="5"/>
      <c r="E12" s="5" t="s">
        <v>8</v>
      </c>
      <c r="F12" s="5"/>
      <c r="G12" s="5" t="s">
        <v>7</v>
      </c>
      <c r="H12" s="5"/>
      <c r="I12" s="5" t="s">
        <v>8</v>
      </c>
    </row>
    <row r="13" spans="3:9" s="4" customFormat="1" ht="12">
      <c r="C13" s="5" t="s">
        <v>9</v>
      </c>
      <c r="D13" s="5"/>
      <c r="E13" s="5" t="s">
        <v>9</v>
      </c>
      <c r="F13" s="5"/>
      <c r="G13" s="5" t="s">
        <v>10</v>
      </c>
      <c r="H13" s="5"/>
      <c r="I13" s="5" t="s">
        <v>11</v>
      </c>
    </row>
    <row r="14" spans="3:9" s="4" customFormat="1" ht="12">
      <c r="C14" s="5" t="s">
        <v>189</v>
      </c>
      <c r="D14" s="5"/>
      <c r="E14" s="5" t="s">
        <v>209</v>
      </c>
      <c r="F14" s="5"/>
      <c r="G14" s="5" t="s">
        <v>189</v>
      </c>
      <c r="H14" s="5"/>
      <c r="I14" s="5" t="s">
        <v>209</v>
      </c>
    </row>
    <row r="15" spans="3:9" s="4" customFormat="1" ht="12">
      <c r="C15" s="5" t="s">
        <v>14</v>
      </c>
      <c r="D15" s="5"/>
      <c r="E15" s="5" t="s">
        <v>14</v>
      </c>
      <c r="F15" s="5"/>
      <c r="G15" s="5" t="s">
        <v>14</v>
      </c>
      <c r="H15" s="5"/>
      <c r="I15" s="5" t="s">
        <v>14</v>
      </c>
    </row>
    <row r="17" spans="1:9" ht="12.75">
      <c r="A17" t="s">
        <v>15</v>
      </c>
      <c r="C17" s="6">
        <f>'CIS-31Jun'!B15</f>
        <v>3826</v>
      </c>
      <c r="D17" s="6"/>
      <c r="E17" s="7" t="s">
        <v>31</v>
      </c>
      <c r="G17" s="6">
        <f>'CIS-31Jun'!E15</f>
        <v>8995</v>
      </c>
      <c r="H17" s="6"/>
      <c r="I17" s="7" t="s">
        <v>31</v>
      </c>
    </row>
    <row r="18" spans="5:9" ht="12.75">
      <c r="E18" s="7"/>
      <c r="I18" s="7"/>
    </row>
    <row r="19" spans="1:9" ht="12.75" hidden="1">
      <c r="A19" t="s">
        <v>16</v>
      </c>
      <c r="C19" s="6" t="e">
        <f>#REF!+#REF!+#REF!</f>
        <v>#REF!</v>
      </c>
      <c r="D19" s="6"/>
      <c r="E19" s="7" t="s">
        <v>31</v>
      </c>
      <c r="G19" s="6" t="e">
        <f>#REF!+#REF!+#REF!</f>
        <v>#REF!</v>
      </c>
      <c r="H19" s="6"/>
      <c r="I19" s="7" t="s">
        <v>31</v>
      </c>
    </row>
    <row r="20" spans="5:9" ht="12.75" hidden="1">
      <c r="E20" s="7" t="s">
        <v>31</v>
      </c>
      <c r="I20" s="7" t="s">
        <v>31</v>
      </c>
    </row>
    <row r="21" spans="1:9" ht="12.75" hidden="1">
      <c r="A21" t="s">
        <v>17</v>
      </c>
      <c r="C21" s="6" t="e">
        <f>#REF!</f>
        <v>#REF!</v>
      </c>
      <c r="D21" s="6"/>
      <c r="E21" s="7" t="s">
        <v>31</v>
      </c>
      <c r="G21" s="6" t="e">
        <f>#REF!</f>
        <v>#REF!</v>
      </c>
      <c r="H21" s="6"/>
      <c r="I21" s="7" t="s">
        <v>31</v>
      </c>
    </row>
    <row r="22" spans="3:9" ht="12.75" hidden="1">
      <c r="C22" s="8"/>
      <c r="D22" s="8"/>
      <c r="E22" s="7" t="s">
        <v>31</v>
      </c>
      <c r="G22" s="8"/>
      <c r="H22" s="8"/>
      <c r="I22" s="7" t="s">
        <v>31</v>
      </c>
    </row>
    <row r="23" spans="1:9" ht="12.75" hidden="1">
      <c r="A23" t="s">
        <v>18</v>
      </c>
      <c r="C23" t="e">
        <f>SUM(C17:C21)</f>
        <v>#REF!</v>
      </c>
      <c r="E23" s="7" t="s">
        <v>31</v>
      </c>
      <c r="G23" t="e">
        <f>SUM(G17:G21)</f>
        <v>#REF!</v>
      </c>
      <c r="I23" s="7" t="s">
        <v>31</v>
      </c>
    </row>
    <row r="24" spans="5:9" ht="12.75" hidden="1">
      <c r="E24" s="7" t="s">
        <v>31</v>
      </c>
      <c r="I24" s="7" t="s">
        <v>31</v>
      </c>
    </row>
    <row r="25" spans="1:9" ht="12.75" hidden="1">
      <c r="A25" t="s">
        <v>19</v>
      </c>
      <c r="C25" s="11" t="e">
        <f>#REF!</f>
        <v>#REF!</v>
      </c>
      <c r="D25" s="11"/>
      <c r="E25" s="7" t="s">
        <v>31</v>
      </c>
      <c r="G25" s="11" t="e">
        <f>#REF!</f>
        <v>#REF!</v>
      </c>
      <c r="H25" s="11"/>
      <c r="I25" s="7" t="s">
        <v>31</v>
      </c>
    </row>
    <row r="26" spans="5:9" ht="12.75" hidden="1">
      <c r="E26" s="7" t="s">
        <v>31</v>
      </c>
      <c r="I26" s="7" t="s">
        <v>31</v>
      </c>
    </row>
    <row r="27" spans="1:9" ht="12.75" hidden="1">
      <c r="A27" t="s">
        <v>20</v>
      </c>
      <c r="C27" s="6" t="e">
        <f>#REF!</f>
        <v>#REF!</v>
      </c>
      <c r="D27" s="6"/>
      <c r="E27" s="7" t="s">
        <v>31</v>
      </c>
      <c r="G27" s="6" t="e">
        <f>#REF!</f>
        <v>#REF!</v>
      </c>
      <c r="H27" s="6"/>
      <c r="I27" s="7" t="s">
        <v>31</v>
      </c>
    </row>
    <row r="28" spans="1:9" ht="12.75" hidden="1">
      <c r="A28" t="s">
        <v>21</v>
      </c>
      <c r="C28" s="8"/>
      <c r="D28" s="8"/>
      <c r="E28" s="7" t="s">
        <v>31</v>
      </c>
      <c r="G28" s="8"/>
      <c r="H28" s="8"/>
      <c r="I28" s="7" t="s">
        <v>31</v>
      </c>
    </row>
    <row r="29" spans="1:9" ht="12.75">
      <c r="A29" t="s">
        <v>158</v>
      </c>
      <c r="C29" s="6">
        <v>-43</v>
      </c>
      <c r="E29" s="7" t="s">
        <v>31</v>
      </c>
      <c r="G29" s="6">
        <f>'CIS-31Jun'!E35</f>
        <v>381</v>
      </c>
      <c r="I29" s="7" t="s">
        <v>31</v>
      </c>
    </row>
    <row r="30" spans="1:9" ht="13.5" customHeight="1" hidden="1">
      <c r="A30" t="s">
        <v>23</v>
      </c>
      <c r="C30" s="6" t="e">
        <f>#REF!</f>
        <v>#REF!</v>
      </c>
      <c r="E30" s="7" t="s">
        <v>31</v>
      </c>
      <c r="G30" s="6" t="e">
        <f>#REF!</f>
        <v>#REF!</v>
      </c>
      <c r="I30" s="7" t="s">
        <v>31</v>
      </c>
    </row>
    <row r="31" spans="3:9" ht="12" customHeight="1">
      <c r="C31" s="6"/>
      <c r="E31" s="7"/>
      <c r="G31" s="6"/>
      <c r="I31" s="7"/>
    </row>
    <row r="32" spans="1:9" ht="12.75">
      <c r="A32" t="s">
        <v>160</v>
      </c>
      <c r="C32" s="6">
        <v>-58</v>
      </c>
      <c r="E32" s="7" t="s">
        <v>31</v>
      </c>
      <c r="G32" s="6">
        <v>232</v>
      </c>
      <c r="H32" s="6"/>
      <c r="I32" s="7" t="s">
        <v>31</v>
      </c>
    </row>
    <row r="33" spans="1:9" ht="12.75">
      <c r="A33" t="s">
        <v>159</v>
      </c>
      <c r="C33" s="6"/>
      <c r="D33" s="63"/>
      <c r="E33" s="7"/>
      <c r="G33" s="6"/>
      <c r="H33" s="63"/>
      <c r="I33" s="7"/>
    </row>
    <row r="34" spans="1:9" ht="12.75">
      <c r="A34" t="s">
        <v>24</v>
      </c>
      <c r="C34" s="6">
        <f>C32</f>
        <v>-58</v>
      </c>
      <c r="E34" s="7" t="s">
        <v>31</v>
      </c>
      <c r="G34" s="6">
        <f>G32</f>
        <v>232</v>
      </c>
      <c r="I34" s="7" t="s">
        <v>31</v>
      </c>
    </row>
    <row r="35" spans="5:9" ht="12.75">
      <c r="E35" s="7"/>
      <c r="I35" s="7"/>
    </row>
    <row r="36" spans="1:9" ht="12.75">
      <c r="A36" t="s">
        <v>25</v>
      </c>
      <c r="C36" s="74">
        <f>'CIS-31Jun'!B45</f>
        <v>-0.07202553180920684</v>
      </c>
      <c r="D36" s="9"/>
      <c r="E36" s="7" t="s">
        <v>31</v>
      </c>
      <c r="G36" s="10">
        <f>'CIS-31Jun'!E45</f>
        <v>0.3069513905427218</v>
      </c>
      <c r="H36" s="10"/>
      <c r="I36" s="7" t="s">
        <v>31</v>
      </c>
    </row>
    <row r="37" spans="5:9" ht="12.75">
      <c r="E37" s="7"/>
      <c r="I37" s="7"/>
    </row>
    <row r="38" spans="1:9" ht="12.75">
      <c r="A38" t="s">
        <v>26</v>
      </c>
      <c r="C38" s="11" t="s">
        <v>31</v>
      </c>
      <c r="D38" s="11"/>
      <c r="E38" s="7" t="s">
        <v>31</v>
      </c>
      <c r="G38" s="11" t="s">
        <v>31</v>
      </c>
      <c r="H38" s="11"/>
      <c r="I38" s="7" t="s">
        <v>31</v>
      </c>
    </row>
    <row r="39" spans="3:9" ht="12.75">
      <c r="C39" s="3"/>
      <c r="D39" s="3"/>
      <c r="E39" s="7"/>
      <c r="G39" s="7"/>
      <c r="H39" s="7"/>
      <c r="I39" s="7"/>
    </row>
    <row r="40" spans="1:9" ht="12.75">
      <c r="A40" t="s">
        <v>27</v>
      </c>
      <c r="C40" s="11" t="s">
        <v>31</v>
      </c>
      <c r="D40" s="11"/>
      <c r="E40" s="7" t="s">
        <v>31</v>
      </c>
      <c r="G40" s="11" t="s">
        <v>31</v>
      </c>
      <c r="H40" s="11"/>
      <c r="I40" s="7" t="s">
        <v>31</v>
      </c>
    </row>
    <row r="44" spans="7:9" s="2" customFormat="1" ht="12.75">
      <c r="G44" s="1" t="s">
        <v>161</v>
      </c>
      <c r="H44" s="1"/>
      <c r="I44" s="1" t="s">
        <v>162</v>
      </c>
    </row>
    <row r="45" spans="7:9" s="2" customFormat="1" ht="12.75">
      <c r="G45" s="1" t="s">
        <v>45</v>
      </c>
      <c r="H45" s="1"/>
      <c r="I45" s="1" t="s">
        <v>163</v>
      </c>
    </row>
    <row r="46" spans="7:9" s="2" customFormat="1" ht="12.75">
      <c r="G46" s="1"/>
      <c r="H46" s="1"/>
      <c r="I46" s="1" t="s">
        <v>164</v>
      </c>
    </row>
    <row r="49" spans="1:9" ht="12.75">
      <c r="A49" t="s">
        <v>166</v>
      </c>
      <c r="G49" s="95">
        <f>'CBS-Jun'!I67/100</f>
        <v>0.19236578893651765</v>
      </c>
      <c r="H49" s="96"/>
      <c r="I49" s="95">
        <f>(6733-19-91)/415+0.01</f>
        <v>15.969036144578313</v>
      </c>
    </row>
    <row r="50" spans="7:9" ht="12.75">
      <c r="G50" s="64"/>
      <c r="H50" s="9"/>
      <c r="I50" s="64"/>
    </row>
    <row r="52" ht="12.75">
      <c r="A52" t="s">
        <v>40</v>
      </c>
    </row>
    <row r="53" ht="12.75">
      <c r="A53" t="s">
        <v>165</v>
      </c>
    </row>
    <row r="54" ht="12.75">
      <c r="A54" t="s">
        <v>167</v>
      </c>
    </row>
    <row r="55" ht="12.75">
      <c r="A55" t="s">
        <v>168</v>
      </c>
    </row>
    <row r="57" ht="12.75">
      <c r="A57" t="s">
        <v>214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1" right="0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zoomScale="75" zoomScaleNormal="75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1" sqref="A51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" width="15.57421875" style="0" customWidth="1"/>
    <col min="4" max="4" width="5.00390625" style="0" customWidth="1"/>
    <col min="5" max="5" width="13.7109375" style="0" customWidth="1"/>
    <col min="6" max="6" width="15.421875" style="0" customWidth="1"/>
    <col min="8" max="8" width="0" style="0" hidden="1" customWidth="1"/>
    <col min="9" max="9" width="14.7109375" style="0" hidden="1" customWidth="1"/>
    <col min="10" max="11" width="15.28125" style="0" hidden="1" customWidth="1"/>
    <col min="12" max="12" width="0" style="0" hidden="1" customWidth="1"/>
  </cols>
  <sheetData>
    <row r="1" spans="1:6" ht="15.75">
      <c r="A1" s="100" t="s">
        <v>28</v>
      </c>
      <c r="B1" s="100"/>
      <c r="C1" s="100"/>
      <c r="D1" s="100"/>
      <c r="E1" s="100"/>
      <c r="F1" s="100"/>
    </row>
    <row r="2" spans="1:6" ht="12.75">
      <c r="A2" s="102" t="s">
        <v>29</v>
      </c>
      <c r="B2" s="102"/>
      <c r="C2" s="102"/>
      <c r="D2" s="102"/>
      <c r="E2" s="102"/>
      <c r="F2" s="102"/>
    </row>
    <row r="3" spans="1:6" ht="15">
      <c r="A3" s="101" t="s">
        <v>2</v>
      </c>
      <c r="B3" s="101"/>
      <c r="C3" s="101"/>
      <c r="D3" s="101"/>
      <c r="E3" s="101"/>
      <c r="F3" s="101"/>
    </row>
    <row r="4" spans="1:6" ht="12.75">
      <c r="A4" s="99" t="s">
        <v>220</v>
      </c>
      <c r="B4" s="99"/>
      <c r="C4" s="99"/>
      <c r="D4" s="99"/>
      <c r="E4" s="99"/>
      <c r="F4" s="99"/>
    </row>
    <row r="5" spans="1:6" ht="12.75">
      <c r="A5" s="99" t="s">
        <v>221</v>
      </c>
      <c r="B5" s="99"/>
      <c r="C5" s="99"/>
      <c r="D5" s="99"/>
      <c r="E5" s="99"/>
      <c r="F5" s="99"/>
    </row>
    <row r="6" spans="1:6" ht="12.75">
      <c r="A6" s="103" t="s">
        <v>30</v>
      </c>
      <c r="B6" s="103"/>
      <c r="C6" s="103"/>
      <c r="D6" s="103"/>
      <c r="E6" s="103"/>
      <c r="F6" s="103"/>
    </row>
    <row r="8" spans="2:10" ht="12.75">
      <c r="B8" s="99" t="s">
        <v>3</v>
      </c>
      <c r="C8" s="99"/>
      <c r="D8" s="2"/>
      <c r="E8" s="99" t="s">
        <v>4</v>
      </c>
      <c r="F8" s="99"/>
      <c r="G8" s="3"/>
      <c r="I8" s="99" t="s">
        <v>3</v>
      </c>
      <c r="J8" s="99"/>
    </row>
    <row r="9" spans="2:10" s="4" customFormat="1" ht="12">
      <c r="B9" s="5" t="s">
        <v>5</v>
      </c>
      <c r="C9" s="5" t="s">
        <v>6</v>
      </c>
      <c r="D9" s="5"/>
      <c r="E9" s="5" t="s">
        <v>5</v>
      </c>
      <c r="F9" s="5" t="s">
        <v>6</v>
      </c>
      <c r="I9" s="5" t="s">
        <v>5</v>
      </c>
      <c r="J9" s="5" t="s">
        <v>6</v>
      </c>
    </row>
    <row r="10" spans="2:10" s="4" customFormat="1" ht="12">
      <c r="B10" s="5" t="s">
        <v>7</v>
      </c>
      <c r="C10" s="5" t="s">
        <v>8</v>
      </c>
      <c r="D10" s="5"/>
      <c r="E10" s="5" t="s">
        <v>7</v>
      </c>
      <c r="F10" s="5" t="s">
        <v>8</v>
      </c>
      <c r="I10" s="5" t="s">
        <v>7</v>
      </c>
      <c r="J10" s="5" t="s">
        <v>8</v>
      </c>
    </row>
    <row r="11" spans="2:10" s="4" customFormat="1" ht="12">
      <c r="B11" s="5" t="s">
        <v>9</v>
      </c>
      <c r="C11" s="5" t="s">
        <v>9</v>
      </c>
      <c r="D11" s="5"/>
      <c r="E11" s="5" t="s">
        <v>10</v>
      </c>
      <c r="F11" s="5" t="s">
        <v>11</v>
      </c>
      <c r="I11" s="5" t="s">
        <v>9</v>
      </c>
      <c r="J11" s="5" t="s">
        <v>9</v>
      </c>
    </row>
    <row r="12" spans="2:10" s="4" customFormat="1" ht="12">
      <c r="B12" s="5" t="s">
        <v>189</v>
      </c>
      <c r="C12" s="5" t="s">
        <v>209</v>
      </c>
      <c r="D12" s="5"/>
      <c r="E12" s="5" t="s">
        <v>189</v>
      </c>
      <c r="F12" s="5" t="s">
        <v>209</v>
      </c>
      <c r="I12" s="5" t="s">
        <v>12</v>
      </c>
      <c r="J12" s="5" t="s">
        <v>13</v>
      </c>
    </row>
    <row r="13" spans="2:10" s="4" customFormat="1" ht="12">
      <c r="B13" s="5" t="s">
        <v>14</v>
      </c>
      <c r="C13" s="5" t="s">
        <v>14</v>
      </c>
      <c r="D13" s="5"/>
      <c r="E13" s="5" t="s">
        <v>14</v>
      </c>
      <c r="F13" s="5" t="s">
        <v>14</v>
      </c>
      <c r="I13" s="5" t="s">
        <v>14</v>
      </c>
      <c r="J13" s="5" t="s">
        <v>14</v>
      </c>
    </row>
    <row r="14" spans="3:10" ht="12.75">
      <c r="C14" s="7"/>
      <c r="F14" s="7"/>
      <c r="J14" s="7"/>
    </row>
    <row r="15" spans="1:10" ht="12.75">
      <c r="A15" t="s">
        <v>15</v>
      </c>
      <c r="B15" s="12">
        <f>E15-I15</f>
        <v>3826</v>
      </c>
      <c r="C15" s="13" t="s">
        <v>31</v>
      </c>
      <c r="E15" s="97">
        <v>8995</v>
      </c>
      <c r="F15" s="13" t="s">
        <v>31</v>
      </c>
      <c r="I15" s="12">
        <v>5169</v>
      </c>
      <c r="J15" s="13" t="s">
        <v>31</v>
      </c>
    </row>
    <row r="16" spans="2:10" ht="12.75">
      <c r="B16" s="12"/>
      <c r="C16" s="7"/>
      <c r="E16" s="12"/>
      <c r="F16" s="7"/>
      <c r="I16" s="12"/>
      <c r="J16" s="7"/>
    </row>
    <row r="17" spans="1:10" ht="12.75">
      <c r="A17" t="s">
        <v>16</v>
      </c>
      <c r="B17" s="12">
        <f>E17-I17</f>
        <v>-3794</v>
      </c>
      <c r="C17" s="13" t="s">
        <v>31</v>
      </c>
      <c r="E17" s="72">
        <f>-8767+232</f>
        <v>-8535</v>
      </c>
      <c r="F17" s="13" t="s">
        <v>31</v>
      </c>
      <c r="I17" s="12">
        <f>-4810+6+63</f>
        <v>-4741</v>
      </c>
      <c r="J17" s="13" t="s">
        <v>31</v>
      </c>
    </row>
    <row r="18" spans="2:10" ht="12.75">
      <c r="B18" s="12"/>
      <c r="C18" s="7"/>
      <c r="E18" s="12"/>
      <c r="F18" s="7"/>
      <c r="I18" s="12"/>
      <c r="J18" s="7"/>
    </row>
    <row r="19" spans="1:10" ht="12.75">
      <c r="A19" t="s">
        <v>17</v>
      </c>
      <c r="B19" s="12">
        <f>E19-I19</f>
        <v>41</v>
      </c>
      <c r="C19" s="13" t="s">
        <v>31</v>
      </c>
      <c r="E19" s="12">
        <v>135</v>
      </c>
      <c r="F19" s="13" t="s">
        <v>31</v>
      </c>
      <c r="I19" s="12">
        <v>94</v>
      </c>
      <c r="J19" s="13" t="s">
        <v>31</v>
      </c>
    </row>
    <row r="20" spans="2:10" ht="12.75">
      <c r="B20" s="12"/>
      <c r="C20" s="7"/>
      <c r="E20" s="12"/>
      <c r="F20" s="7"/>
      <c r="I20" s="12"/>
      <c r="J20" s="7"/>
    </row>
    <row r="21" spans="1:10" ht="12.75">
      <c r="A21" t="s">
        <v>32</v>
      </c>
      <c r="B21" s="12">
        <f>E21-I21</f>
        <v>-72</v>
      </c>
      <c r="C21" s="13" t="s">
        <v>31</v>
      </c>
      <c r="E21" s="12">
        <v>-135</v>
      </c>
      <c r="F21" s="13" t="s">
        <v>31</v>
      </c>
      <c r="I21" s="12">
        <v>-63</v>
      </c>
      <c r="J21" s="13" t="s">
        <v>31</v>
      </c>
    </row>
    <row r="22" spans="2:10" ht="12.75">
      <c r="B22" s="12"/>
      <c r="C22" s="7"/>
      <c r="E22" s="12"/>
      <c r="F22" s="7"/>
      <c r="I22" s="12"/>
      <c r="J22" s="7"/>
    </row>
    <row r="23" spans="1:10" ht="12.75">
      <c r="A23" t="s">
        <v>33</v>
      </c>
      <c r="B23" s="12">
        <f>E23-I23</f>
        <v>-5</v>
      </c>
      <c r="C23" s="13" t="s">
        <v>31</v>
      </c>
      <c r="E23" s="12">
        <v>-11</v>
      </c>
      <c r="F23" s="13" t="s">
        <v>31</v>
      </c>
      <c r="I23" s="12">
        <v>-6</v>
      </c>
      <c r="J23" s="13" t="s">
        <v>31</v>
      </c>
    </row>
    <row r="24" spans="2:10" ht="12.75">
      <c r="B24" s="12"/>
      <c r="C24" s="13"/>
      <c r="E24" s="12"/>
      <c r="F24" s="13"/>
      <c r="I24" s="12"/>
      <c r="J24" s="13"/>
    </row>
    <row r="25" spans="1:10" ht="12.75">
      <c r="A25" t="s">
        <v>34</v>
      </c>
      <c r="B25" s="12">
        <f>E25-I25</f>
        <v>0</v>
      </c>
      <c r="C25" s="13" t="s">
        <v>31</v>
      </c>
      <c r="E25" s="12">
        <v>0</v>
      </c>
      <c r="F25" s="13" t="s">
        <v>31</v>
      </c>
      <c r="I25" s="12">
        <v>0</v>
      </c>
      <c r="J25" s="13" t="s">
        <v>31</v>
      </c>
    </row>
    <row r="26" spans="2:10" ht="12.75">
      <c r="B26" s="14"/>
      <c r="C26" s="15"/>
      <c r="E26" s="14"/>
      <c r="F26" s="15"/>
      <c r="I26" s="14"/>
      <c r="J26" s="15"/>
    </row>
    <row r="27" spans="1:10" ht="12.75">
      <c r="A27" t="s">
        <v>18</v>
      </c>
      <c r="B27" s="12">
        <f>SUM(B15:B25)</f>
        <v>-4</v>
      </c>
      <c r="C27" s="13" t="s">
        <v>31</v>
      </c>
      <c r="E27" s="12">
        <f>SUM(E15:E25)</f>
        <v>449</v>
      </c>
      <c r="F27" s="13" t="s">
        <v>31</v>
      </c>
      <c r="I27" s="12">
        <f>SUM(I15:I25)</f>
        <v>453</v>
      </c>
      <c r="J27" s="13" t="s">
        <v>31</v>
      </c>
    </row>
    <row r="28" spans="2:10" ht="12.75">
      <c r="B28" s="12"/>
      <c r="C28" s="7"/>
      <c r="E28" s="12"/>
      <c r="F28" s="7"/>
      <c r="I28" s="12"/>
      <c r="J28" s="7"/>
    </row>
    <row r="29" spans="1:10" ht="12.75">
      <c r="A29" t="s">
        <v>19</v>
      </c>
      <c r="B29" s="18" t="s">
        <v>122</v>
      </c>
      <c r="C29" s="13" t="s">
        <v>31</v>
      </c>
      <c r="E29" s="18" t="s">
        <v>122</v>
      </c>
      <c r="F29" s="13" t="s">
        <v>31</v>
      </c>
      <c r="I29" s="18" t="s">
        <v>122</v>
      </c>
      <c r="J29" s="13" t="s">
        <v>31</v>
      </c>
    </row>
    <row r="30" spans="2:10" ht="12.75">
      <c r="B30" s="12"/>
      <c r="C30" s="7"/>
      <c r="E30" s="12"/>
      <c r="F30" s="7"/>
      <c r="I30" s="12"/>
      <c r="J30" s="7"/>
    </row>
    <row r="31" spans="1:10" ht="12.75">
      <c r="A31" t="s">
        <v>35</v>
      </c>
      <c r="B31" s="12">
        <f>E31-I31</f>
        <v>0</v>
      </c>
      <c r="C31" s="13" t="s">
        <v>31</v>
      </c>
      <c r="E31" s="12">
        <v>0</v>
      </c>
      <c r="F31" s="13" t="s">
        <v>31</v>
      </c>
      <c r="I31" s="12">
        <v>0</v>
      </c>
      <c r="J31" s="13" t="s">
        <v>31</v>
      </c>
    </row>
    <row r="32" spans="2:10" ht="12.75">
      <c r="B32" s="12"/>
      <c r="C32" s="7"/>
      <c r="E32" s="12"/>
      <c r="F32" s="7"/>
      <c r="I32" s="12"/>
      <c r="J32" s="7"/>
    </row>
    <row r="33" spans="1:10" ht="12.75">
      <c r="A33" t="s">
        <v>20</v>
      </c>
      <c r="B33" s="12">
        <f>E33-I33</f>
        <v>-39</v>
      </c>
      <c r="C33" s="13" t="s">
        <v>31</v>
      </c>
      <c r="E33" s="12">
        <v>-68</v>
      </c>
      <c r="F33" s="13" t="s">
        <v>31</v>
      </c>
      <c r="I33" s="12">
        <v>-29</v>
      </c>
      <c r="J33" s="13" t="s">
        <v>31</v>
      </c>
    </row>
    <row r="34" spans="1:10" ht="12.75">
      <c r="A34" t="s">
        <v>21</v>
      </c>
      <c r="B34" s="14"/>
      <c r="C34" s="15"/>
      <c r="E34" s="14"/>
      <c r="F34" s="15"/>
      <c r="I34" s="14"/>
      <c r="J34" s="15"/>
    </row>
    <row r="35" spans="1:10" ht="12.75">
      <c r="A35" t="s">
        <v>22</v>
      </c>
      <c r="B35" s="12">
        <f>SUM(B27:B33)</f>
        <v>-43</v>
      </c>
      <c r="C35" s="13" t="s">
        <v>31</v>
      </c>
      <c r="E35" s="12">
        <f>SUM(E27:E33)</f>
        <v>381</v>
      </c>
      <c r="F35" s="13" t="s">
        <v>31</v>
      </c>
      <c r="I35" s="12">
        <f>SUM(I27:I33)</f>
        <v>424</v>
      </c>
      <c r="J35" s="13" t="s">
        <v>31</v>
      </c>
    </row>
    <row r="36" spans="2:10" ht="12.75">
      <c r="B36" s="12"/>
      <c r="C36" s="7"/>
      <c r="E36" s="12"/>
      <c r="F36" s="7"/>
      <c r="I36" s="12"/>
      <c r="J36" s="7"/>
    </row>
    <row r="37" spans="1:10" ht="12.75">
      <c r="A37" t="s">
        <v>23</v>
      </c>
      <c r="B37" s="12">
        <f>E37-I37</f>
        <v>-15</v>
      </c>
      <c r="C37" s="13" t="s">
        <v>31</v>
      </c>
      <c r="E37" s="12">
        <f>-173+24</f>
        <v>-149</v>
      </c>
      <c r="F37" s="13" t="s">
        <v>31</v>
      </c>
      <c r="I37" s="12">
        <v>-134</v>
      </c>
      <c r="J37" s="13" t="s">
        <v>31</v>
      </c>
    </row>
    <row r="38" spans="2:10" ht="12.75">
      <c r="B38" s="14"/>
      <c r="C38" s="15"/>
      <c r="E38" s="14"/>
      <c r="F38" s="15"/>
      <c r="I38" s="14"/>
      <c r="J38" s="15"/>
    </row>
    <row r="39" spans="1:10" ht="12.75">
      <c r="A39" t="s">
        <v>24</v>
      </c>
      <c r="B39" s="12">
        <f>SUM(B35:B37)</f>
        <v>-58</v>
      </c>
      <c r="C39" s="13" t="s">
        <v>31</v>
      </c>
      <c r="E39" s="12">
        <f>SUM(E35:E37)</f>
        <v>232</v>
      </c>
      <c r="F39" s="13" t="s">
        <v>31</v>
      </c>
      <c r="I39" s="12">
        <f>SUM(I35:I37)</f>
        <v>290</v>
      </c>
      <c r="J39" s="13" t="s">
        <v>31</v>
      </c>
    </row>
    <row r="40" spans="2:10" ht="12.75">
      <c r="B40" s="12"/>
      <c r="C40" s="7"/>
      <c r="E40" s="12"/>
      <c r="F40" s="7"/>
      <c r="I40" s="12"/>
      <c r="J40" s="7"/>
    </row>
    <row r="41" spans="1:10" ht="12.75">
      <c r="A41" t="s">
        <v>36</v>
      </c>
      <c r="B41" s="12">
        <v>80527</v>
      </c>
      <c r="C41" s="13" t="s">
        <v>31</v>
      </c>
      <c r="E41" s="12">
        <v>75582</v>
      </c>
      <c r="F41" s="13" t="s">
        <v>31</v>
      </c>
      <c r="I41" s="12">
        <v>70637</v>
      </c>
      <c r="J41" s="13" t="s">
        <v>31</v>
      </c>
    </row>
    <row r="42" spans="2:10" ht="12.75">
      <c r="B42" s="12"/>
      <c r="C42" s="7"/>
      <c r="E42" s="72" t="s">
        <v>21</v>
      </c>
      <c r="F42" s="7"/>
      <c r="I42" s="12"/>
      <c r="J42" s="7"/>
    </row>
    <row r="43" spans="1:10" ht="12.75">
      <c r="A43" t="s">
        <v>37</v>
      </c>
      <c r="B43" s="12"/>
      <c r="C43" s="7"/>
      <c r="E43" s="12"/>
      <c r="F43" s="7"/>
      <c r="I43" s="12"/>
      <c r="J43" s="7"/>
    </row>
    <row r="44" spans="2:10" ht="12.75">
      <c r="B44" s="12"/>
      <c r="C44" s="7"/>
      <c r="E44" s="12"/>
      <c r="F44" s="7"/>
      <c r="I44" s="12"/>
      <c r="J44" s="7"/>
    </row>
    <row r="45" spans="1:10" ht="12.75">
      <c r="A45" t="s">
        <v>38</v>
      </c>
      <c r="B45" s="16">
        <f>B39/B41*100</f>
        <v>-0.07202553180920684</v>
      </c>
      <c r="C45" s="13" t="s">
        <v>31</v>
      </c>
      <c r="E45" s="16">
        <f>E39/E41*100</f>
        <v>0.3069513905427218</v>
      </c>
      <c r="F45" s="13" t="s">
        <v>31</v>
      </c>
      <c r="I45" s="16">
        <f>I39/I41*100</f>
        <v>0.41054971190735734</v>
      </c>
      <c r="J45" s="13" t="s">
        <v>31</v>
      </c>
    </row>
    <row r="46" spans="2:10" ht="12.75">
      <c r="B46" s="12"/>
      <c r="C46" s="7"/>
      <c r="E46" s="12"/>
      <c r="F46" s="7"/>
      <c r="I46" s="12"/>
      <c r="J46" s="7"/>
    </row>
    <row r="47" spans="1:10" ht="12.75">
      <c r="A47" t="s">
        <v>39</v>
      </c>
      <c r="B47" s="17" t="s">
        <v>31</v>
      </c>
      <c r="C47" s="13" t="s">
        <v>31</v>
      </c>
      <c r="E47" s="17" t="s">
        <v>31</v>
      </c>
      <c r="F47" s="13" t="s">
        <v>31</v>
      </c>
      <c r="I47" s="17" t="s">
        <v>31</v>
      </c>
      <c r="J47" s="13" t="s">
        <v>31</v>
      </c>
    </row>
    <row r="48" spans="2:10" ht="12.75">
      <c r="B48" s="12"/>
      <c r="C48" s="7"/>
      <c r="E48" s="12"/>
      <c r="F48" s="7"/>
      <c r="I48" s="12"/>
      <c r="J48" s="7"/>
    </row>
    <row r="49" spans="1:10" ht="12.75">
      <c r="A49" t="s">
        <v>27</v>
      </c>
      <c r="B49" s="18" t="s">
        <v>31</v>
      </c>
      <c r="C49" s="13" t="s">
        <v>31</v>
      </c>
      <c r="E49" s="17" t="s">
        <v>31</v>
      </c>
      <c r="F49" s="13" t="s">
        <v>31</v>
      </c>
      <c r="I49" s="18" t="s">
        <v>31</v>
      </c>
      <c r="J49" s="13" t="s">
        <v>31</v>
      </c>
    </row>
    <row r="50" spans="2:6" ht="12.75">
      <c r="B50" s="12"/>
      <c r="C50" s="7"/>
      <c r="F50" s="7"/>
    </row>
    <row r="51" spans="1:6" ht="12.75">
      <c r="A51" s="98" t="s">
        <v>218</v>
      </c>
      <c r="B51" s="12"/>
      <c r="C51" s="7"/>
      <c r="F51" s="7"/>
    </row>
    <row r="52" spans="2:6" ht="12.75">
      <c r="B52" s="12"/>
      <c r="C52" s="7"/>
      <c r="F52" s="7"/>
    </row>
    <row r="53" spans="3:6" ht="12.75">
      <c r="C53" s="7"/>
      <c r="F53" s="7"/>
    </row>
    <row r="54" spans="1:6" ht="12.75">
      <c r="A54" t="s">
        <v>40</v>
      </c>
      <c r="C54" s="7"/>
      <c r="F54" s="7"/>
    </row>
    <row r="55" spans="1:6" ht="12.75">
      <c r="A55" t="s">
        <v>210</v>
      </c>
      <c r="C55" s="7"/>
      <c r="F55" s="7"/>
    </row>
    <row r="56" spans="3:6" ht="12.75">
      <c r="C56" s="7"/>
      <c r="F56" s="7"/>
    </row>
    <row r="57" spans="1:6" ht="12.75">
      <c r="A57" t="s">
        <v>186</v>
      </c>
      <c r="C57" s="7"/>
      <c r="F57" s="7"/>
    </row>
    <row r="58" spans="1:6" ht="12.75">
      <c r="A58" t="s">
        <v>188</v>
      </c>
      <c r="C58" s="7"/>
      <c r="F58" s="7"/>
    </row>
    <row r="59" spans="3:6" ht="12.75">
      <c r="C59" s="7"/>
      <c r="F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  <row r="271" ht="12.75">
      <c r="C271" s="7"/>
    </row>
  </sheetData>
  <mergeCells count="9">
    <mergeCell ref="I8:J8"/>
    <mergeCell ref="B8:C8"/>
    <mergeCell ref="E8:F8"/>
    <mergeCell ref="A1:F1"/>
    <mergeCell ref="A3:F3"/>
    <mergeCell ref="A4:F4"/>
    <mergeCell ref="A6:F6"/>
    <mergeCell ref="A2:F2"/>
    <mergeCell ref="A5:F5"/>
  </mergeCells>
  <printOptions/>
  <pageMargins left="0.75" right="0.75" top="0.75" bottom="0.75" header="0.5" footer="0.5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A72">
      <selection activeCell="E81" sqref="E81"/>
    </sheetView>
  </sheetViews>
  <sheetFormatPr defaultColWidth="9.140625" defaultRowHeight="12.75"/>
  <cols>
    <col min="1" max="1" width="0.71875" style="19" customWidth="1"/>
    <col min="2" max="2" width="3.7109375" style="19" customWidth="1"/>
    <col min="3" max="3" width="4.57421875" style="19" customWidth="1"/>
    <col min="4" max="4" width="8.00390625" style="19" customWidth="1"/>
    <col min="5" max="5" width="33.7109375" style="19" customWidth="1"/>
    <col min="6" max="7" width="0.85546875" style="19" customWidth="1"/>
    <col min="8" max="8" width="1.28515625" style="19" customWidth="1"/>
    <col min="9" max="9" width="19.140625" style="22" customWidth="1"/>
    <col min="10" max="10" width="4.421875" style="19" customWidth="1"/>
    <col min="11" max="11" width="18.7109375" style="19" customWidth="1"/>
    <col min="12" max="12" width="2.140625" style="19" customWidth="1"/>
    <col min="13" max="16384" width="9.140625" style="19" customWidth="1"/>
  </cols>
  <sheetData>
    <row r="1" spans="1:11" ht="15.7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4" t="s">
        <v>29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105" t="s">
        <v>212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="23" customFormat="1" ht="12.75">
      <c r="I5" s="25" t="s">
        <v>21</v>
      </c>
    </row>
    <row r="6" spans="9:11" s="23" customFormat="1" ht="12.75" customHeight="1">
      <c r="I6" s="25" t="s">
        <v>222</v>
      </c>
      <c r="K6" s="1" t="s">
        <v>223</v>
      </c>
    </row>
    <row r="7" spans="9:11" s="23" customFormat="1" ht="12.75">
      <c r="I7" s="1" t="s">
        <v>189</v>
      </c>
      <c r="K7" s="1" t="s">
        <v>224</v>
      </c>
    </row>
    <row r="8" spans="9:11" s="23" customFormat="1" ht="12.75">
      <c r="I8" s="27" t="s">
        <v>54</v>
      </c>
      <c r="K8" s="27" t="s">
        <v>54</v>
      </c>
    </row>
    <row r="9" spans="2:9" s="23" customFormat="1" ht="12.75">
      <c r="B9" s="28" t="s">
        <v>55</v>
      </c>
      <c r="I9" s="26"/>
    </row>
    <row r="10" spans="2:11" s="23" customFormat="1" ht="12.75">
      <c r="B10" s="23" t="s">
        <v>56</v>
      </c>
      <c r="G10" s="26"/>
      <c r="H10" s="26"/>
      <c r="I10" s="26">
        <v>1350</v>
      </c>
      <c r="K10" s="76" t="s">
        <v>31</v>
      </c>
    </row>
    <row r="11" spans="2:11" s="23" customFormat="1" ht="12.75" hidden="1">
      <c r="B11" s="23" t="s">
        <v>57</v>
      </c>
      <c r="G11" s="26"/>
      <c r="H11" s="26"/>
      <c r="I11" s="26" t="e">
        <f>SUM(#REF!)+#REF!-#REF!</f>
        <v>#REF!</v>
      </c>
      <c r="K11" s="76" t="s">
        <v>31</v>
      </c>
    </row>
    <row r="12" spans="2:11" s="23" customFormat="1" ht="12.75">
      <c r="B12" s="23" t="s">
        <v>58</v>
      </c>
      <c r="G12" s="26"/>
      <c r="H12" s="26"/>
      <c r="I12" s="26">
        <v>6</v>
      </c>
      <c r="K12" s="76" t="s">
        <v>31</v>
      </c>
    </row>
    <row r="13" spans="2:11" s="23" customFormat="1" ht="12.75">
      <c r="B13" s="23" t="s">
        <v>59</v>
      </c>
      <c r="G13" s="26"/>
      <c r="H13" s="26"/>
      <c r="I13" s="26">
        <v>33</v>
      </c>
      <c r="K13" s="76" t="s">
        <v>31</v>
      </c>
    </row>
    <row r="14" spans="2:11" s="23" customFormat="1" ht="12.75">
      <c r="B14" s="23" t="s">
        <v>60</v>
      </c>
      <c r="G14" s="26"/>
      <c r="H14" s="26"/>
      <c r="I14" s="26">
        <v>187</v>
      </c>
      <c r="K14" s="76" t="s">
        <v>31</v>
      </c>
    </row>
    <row r="15" spans="7:11" s="23" customFormat="1" ht="12.75">
      <c r="G15" s="26"/>
      <c r="H15" s="26"/>
      <c r="I15" s="32">
        <f>I10+I12+I13+I14</f>
        <v>1576</v>
      </c>
      <c r="K15" s="77" t="s">
        <v>31</v>
      </c>
    </row>
    <row r="16" spans="7:9" s="23" customFormat="1" ht="12.75">
      <c r="G16" s="26"/>
      <c r="H16" s="26"/>
      <c r="I16" s="26"/>
    </row>
    <row r="17" spans="2:9" s="23" customFormat="1" ht="12.75">
      <c r="B17" s="28" t="s">
        <v>61</v>
      </c>
      <c r="G17" s="26"/>
      <c r="H17" s="26"/>
      <c r="I17" s="26"/>
    </row>
    <row r="18" spans="2:11" s="23" customFormat="1" ht="12.75">
      <c r="B18" s="23" t="s">
        <v>62</v>
      </c>
      <c r="G18" s="31"/>
      <c r="H18" s="31"/>
      <c r="I18" s="33">
        <f>2155+323</f>
        <v>2478</v>
      </c>
      <c r="K18" s="78" t="s">
        <v>31</v>
      </c>
    </row>
    <row r="19" spans="2:11" s="23" customFormat="1" ht="12.75">
      <c r="B19" s="23" t="s">
        <v>63</v>
      </c>
      <c r="G19" s="31"/>
      <c r="H19" s="31"/>
      <c r="I19" s="34">
        <f>11324-566</f>
        <v>10758</v>
      </c>
      <c r="K19" s="79" t="s">
        <v>31</v>
      </c>
    </row>
    <row r="20" spans="2:11" s="23" customFormat="1" ht="12.75">
      <c r="B20" s="23" t="s">
        <v>64</v>
      </c>
      <c r="G20" s="31"/>
      <c r="H20" s="31"/>
      <c r="I20" s="34">
        <f>977+120</f>
        <v>1097</v>
      </c>
      <c r="K20" s="79" t="s">
        <v>31</v>
      </c>
    </row>
    <row r="21" spans="2:11" s="23" customFormat="1" ht="12.75" hidden="1">
      <c r="B21" s="23" t="s">
        <v>65</v>
      </c>
      <c r="G21" s="31"/>
      <c r="H21" s="31"/>
      <c r="I21" s="34" t="e">
        <f>SUM(#REF!)+#REF!-#REF!</f>
        <v>#REF!</v>
      </c>
      <c r="K21" s="79" t="s">
        <v>31</v>
      </c>
    </row>
    <row r="22" spans="2:11" s="23" customFormat="1" ht="12.75" hidden="1">
      <c r="B22" s="23" t="s">
        <v>66</v>
      </c>
      <c r="G22" s="31"/>
      <c r="H22" s="31"/>
      <c r="I22" s="34" t="e">
        <f>SUM(#REF!)+#REF!-#REF!</f>
        <v>#REF!</v>
      </c>
      <c r="K22" s="79" t="s">
        <v>31</v>
      </c>
    </row>
    <row r="23" spans="2:11" s="23" customFormat="1" ht="12.75" hidden="1">
      <c r="B23" s="23" t="s">
        <v>67</v>
      </c>
      <c r="G23" s="31"/>
      <c r="H23" s="31"/>
      <c r="I23" s="34" t="e">
        <f>SUM(#REF!)+#REF!-#REF!</f>
        <v>#REF!</v>
      </c>
      <c r="K23" s="79" t="s">
        <v>31</v>
      </c>
    </row>
    <row r="24" spans="2:11" s="23" customFormat="1" ht="12.75">
      <c r="B24" s="23" t="s">
        <v>68</v>
      </c>
      <c r="G24" s="31"/>
      <c r="H24" s="31"/>
      <c r="I24" s="34">
        <v>14</v>
      </c>
      <c r="K24" s="79" t="s">
        <v>31</v>
      </c>
    </row>
    <row r="25" spans="2:11" s="23" customFormat="1" ht="12.75">
      <c r="B25" s="23" t="s">
        <v>69</v>
      </c>
      <c r="G25" s="26"/>
      <c r="H25" s="26"/>
      <c r="I25" s="34">
        <v>0</v>
      </c>
      <c r="K25" s="79" t="s">
        <v>31</v>
      </c>
    </row>
    <row r="26" spans="2:11" s="23" customFormat="1" ht="12.75">
      <c r="B26" s="23" t="s">
        <v>70</v>
      </c>
      <c r="G26" s="31"/>
      <c r="H26" s="31"/>
      <c r="I26" s="34">
        <f>893+8650</f>
        <v>9543</v>
      </c>
      <c r="K26" s="79" t="s">
        <v>31</v>
      </c>
    </row>
    <row r="27" spans="2:11" s="23" customFormat="1" ht="12.75">
      <c r="B27" s="23" t="s">
        <v>71</v>
      </c>
      <c r="G27" s="31"/>
      <c r="H27" s="31"/>
      <c r="I27" s="34">
        <v>698</v>
      </c>
      <c r="K27" s="81" t="s">
        <v>31</v>
      </c>
    </row>
    <row r="28" spans="7:11" s="23" customFormat="1" ht="12.75">
      <c r="G28" s="31"/>
      <c r="H28" s="31"/>
      <c r="I28" s="36">
        <f>I18+I19+I20+I24+I25+I26+I27</f>
        <v>24588</v>
      </c>
      <c r="K28" s="80" t="s">
        <v>31</v>
      </c>
    </row>
    <row r="29" spans="7:11" s="23" customFormat="1" ht="9" customHeight="1">
      <c r="G29" s="31"/>
      <c r="H29" s="31"/>
      <c r="I29" s="34"/>
      <c r="K29" s="84"/>
    </row>
    <row r="30" spans="2:11" s="23" customFormat="1" ht="12.75">
      <c r="B30" s="2" t="s">
        <v>95</v>
      </c>
      <c r="G30" s="31"/>
      <c r="H30" s="31"/>
      <c r="I30" s="34"/>
      <c r="K30" s="84"/>
    </row>
    <row r="31" spans="2:11" s="23" customFormat="1" ht="12.75">
      <c r="B31" s="23" t="s">
        <v>72</v>
      </c>
      <c r="G31" s="31"/>
      <c r="H31" s="31"/>
      <c r="I31" s="34">
        <v>3836</v>
      </c>
      <c r="K31" s="79" t="s">
        <v>31</v>
      </c>
    </row>
    <row r="32" spans="2:11" s="23" customFormat="1" ht="12.75">
      <c r="B32" s="23" t="s">
        <v>73</v>
      </c>
      <c r="G32" s="31"/>
      <c r="H32" s="31"/>
      <c r="I32" s="34">
        <f>518-52</f>
        <v>466</v>
      </c>
      <c r="K32" s="79" t="s">
        <v>31</v>
      </c>
    </row>
    <row r="33" spans="2:11" s="23" customFormat="1" ht="12.75" hidden="1">
      <c r="B33" s="23" t="s">
        <v>74</v>
      </c>
      <c r="G33" s="31"/>
      <c r="H33" s="31"/>
      <c r="I33" s="34" t="e">
        <f>SUM(#REF!)+#REF!-#REF!</f>
        <v>#REF!</v>
      </c>
      <c r="K33" s="79" t="s">
        <v>31</v>
      </c>
    </row>
    <row r="34" spans="2:11" s="23" customFormat="1" ht="12.75" hidden="1">
      <c r="B34" s="23" t="s">
        <v>75</v>
      </c>
      <c r="G34" s="31"/>
      <c r="H34" s="31"/>
      <c r="I34" s="34" t="e">
        <f>SUM(#REF!)+#REF!-#REF!</f>
        <v>#REF!</v>
      </c>
      <c r="K34" s="79" t="s">
        <v>31</v>
      </c>
    </row>
    <row r="35" spans="2:11" s="23" customFormat="1" ht="12.75" hidden="1">
      <c r="B35" s="23" t="s">
        <v>76</v>
      </c>
      <c r="G35" s="31"/>
      <c r="H35" s="31"/>
      <c r="I35" s="34" t="e">
        <f>SUM(#REF!)+#REF!-#REF!</f>
        <v>#REF!</v>
      </c>
      <c r="K35" s="79" t="s">
        <v>31</v>
      </c>
    </row>
    <row r="36" spans="2:11" s="23" customFormat="1" ht="12.75">
      <c r="B36" s="23" t="s">
        <v>77</v>
      </c>
      <c r="G36" s="31"/>
      <c r="H36" s="31"/>
      <c r="I36" s="34">
        <v>7</v>
      </c>
      <c r="K36" s="79" t="s">
        <v>31</v>
      </c>
    </row>
    <row r="37" spans="2:11" s="23" customFormat="1" ht="12.75">
      <c r="B37" s="23" t="s">
        <v>78</v>
      </c>
      <c r="G37" s="31"/>
      <c r="H37" s="31"/>
      <c r="I37" s="34">
        <v>118</v>
      </c>
      <c r="K37" s="79" t="s">
        <v>31</v>
      </c>
    </row>
    <row r="38" spans="2:11" s="23" customFormat="1" ht="12.75">
      <c r="B38" s="23" t="s">
        <v>79</v>
      </c>
      <c r="I38" s="34">
        <f>1145-10</f>
        <v>1135</v>
      </c>
      <c r="K38" s="79" t="s">
        <v>31</v>
      </c>
    </row>
    <row r="39" spans="2:11" s="23" customFormat="1" ht="12.75">
      <c r="B39" s="37" t="s">
        <v>80</v>
      </c>
      <c r="F39" s="38"/>
      <c r="I39" s="34">
        <f>965+159+42+5</f>
        <v>1171</v>
      </c>
      <c r="K39" s="79" t="s">
        <v>31</v>
      </c>
    </row>
    <row r="40" spans="6:11" s="23" customFormat="1" ht="12.75">
      <c r="F40" s="38"/>
      <c r="G40" s="31"/>
      <c r="H40" s="31"/>
      <c r="I40" s="36">
        <f>I31+I32+I36+I37+I38+I39</f>
        <v>6733</v>
      </c>
      <c r="K40" s="80" t="s">
        <v>31</v>
      </c>
    </row>
    <row r="41" spans="5:11" s="23" customFormat="1" ht="9" customHeight="1">
      <c r="E41" s="38"/>
      <c r="F41" s="38"/>
      <c r="G41" s="31"/>
      <c r="H41" s="31"/>
      <c r="I41" s="26"/>
      <c r="K41" s="85"/>
    </row>
    <row r="42" spans="2:11" s="23" customFormat="1" ht="12.75">
      <c r="B42" s="2" t="s">
        <v>81</v>
      </c>
      <c r="E42" s="38"/>
      <c r="F42" s="38"/>
      <c r="G42" s="31"/>
      <c r="H42" s="31"/>
      <c r="I42" s="26">
        <f>+I28-I40</f>
        <v>17855</v>
      </c>
      <c r="K42" s="71" t="s">
        <v>31</v>
      </c>
    </row>
    <row r="43" spans="5:11" s="23" customFormat="1" ht="12.75" customHeight="1">
      <c r="E43" s="38"/>
      <c r="F43" s="38"/>
      <c r="G43" s="31"/>
      <c r="H43" s="31"/>
      <c r="I43" s="26"/>
      <c r="K43" s="85"/>
    </row>
    <row r="44" spans="2:11" s="23" customFormat="1" ht="12.75">
      <c r="B44" s="2" t="s">
        <v>96</v>
      </c>
      <c r="E44" s="38"/>
      <c r="F44" s="38"/>
      <c r="G44" s="31"/>
      <c r="H44" s="31"/>
      <c r="I44" s="26"/>
      <c r="K44" s="85"/>
    </row>
    <row r="45" spans="3:11" s="23" customFormat="1" ht="12.75">
      <c r="C45" s="23" t="s">
        <v>82</v>
      </c>
      <c r="D45" s="2"/>
      <c r="E45" s="38"/>
      <c r="F45" s="38"/>
      <c r="G45" s="31"/>
      <c r="H45" s="31"/>
      <c r="I45" s="33">
        <f>182+173</f>
        <v>355</v>
      </c>
      <c r="K45" s="78" t="s">
        <v>31</v>
      </c>
    </row>
    <row r="46" spans="3:11" s="23" customFormat="1" ht="12.75">
      <c r="C46" s="23" t="s">
        <v>83</v>
      </c>
      <c r="D46" s="2"/>
      <c r="E46" s="38"/>
      <c r="F46" s="38"/>
      <c r="G46" s="31"/>
      <c r="H46" s="31"/>
      <c r="I46" s="35">
        <v>8</v>
      </c>
      <c r="K46" s="81" t="s">
        <v>31</v>
      </c>
    </row>
    <row r="47" spans="4:11" s="23" customFormat="1" ht="12.75">
      <c r="D47" s="2"/>
      <c r="E47" s="38"/>
      <c r="F47" s="38"/>
      <c r="G47" s="31"/>
      <c r="H47" s="31"/>
      <c r="I47" s="26">
        <f>-SUM(I45:I46)</f>
        <v>-363</v>
      </c>
      <c r="K47" s="71" t="s">
        <v>31</v>
      </c>
    </row>
    <row r="48" spans="5:11" s="23" customFormat="1" ht="13.5" thickBot="1">
      <c r="E48" s="38"/>
      <c r="F48" s="38"/>
      <c r="G48" s="31"/>
      <c r="H48" s="31"/>
      <c r="I48" s="39">
        <f>+I15+I42+I47</f>
        <v>19068</v>
      </c>
      <c r="K48" s="82" t="s">
        <v>31</v>
      </c>
    </row>
    <row r="49" spans="5:11" s="23" customFormat="1" ht="12.75">
      <c r="E49" s="38"/>
      <c r="F49" s="38"/>
      <c r="G49" s="26"/>
      <c r="H49" s="26"/>
      <c r="I49" s="26"/>
      <c r="K49" s="85"/>
    </row>
    <row r="50" spans="2:11" s="23" customFormat="1" ht="12.75">
      <c r="B50" s="2" t="s">
        <v>84</v>
      </c>
      <c r="G50" s="26"/>
      <c r="H50" s="26"/>
      <c r="I50" s="26"/>
      <c r="K50" s="85"/>
    </row>
    <row r="51" spans="2:11" s="23" customFormat="1" ht="12.75">
      <c r="B51" s="23" t="s">
        <v>85</v>
      </c>
      <c r="G51" s="31"/>
      <c r="H51" s="31"/>
      <c r="I51" s="26">
        <v>9798</v>
      </c>
      <c r="K51" s="71" t="s">
        <v>31</v>
      </c>
    </row>
    <row r="52" spans="2:11" s="23" customFormat="1" ht="12.75" hidden="1">
      <c r="B52" s="23" t="s">
        <v>86</v>
      </c>
      <c r="G52" s="31"/>
      <c r="H52" s="31"/>
      <c r="I52" s="26" t="e">
        <f>SUM(#REF!)+#REF!-#REF!</f>
        <v>#REF!</v>
      </c>
      <c r="K52" s="71" t="s">
        <v>31</v>
      </c>
    </row>
    <row r="53" spans="2:11" s="23" customFormat="1" ht="12.75">
      <c r="B53" s="23" t="s">
        <v>87</v>
      </c>
      <c r="G53" s="31"/>
      <c r="H53" s="31"/>
      <c r="I53" s="26">
        <v>7502</v>
      </c>
      <c r="K53" s="71" t="s">
        <v>31</v>
      </c>
    </row>
    <row r="54" spans="2:11" s="23" customFormat="1" ht="12.75">
      <c r="B54" s="23" t="s">
        <v>88</v>
      </c>
      <c r="G54" s="31"/>
      <c r="H54" s="31"/>
      <c r="I54" s="26">
        <f>1536+413-181</f>
        <v>1768</v>
      </c>
      <c r="K54" s="71" t="s">
        <v>31</v>
      </c>
    </row>
    <row r="55" spans="2:11" s="23" customFormat="1" ht="12.75" hidden="1">
      <c r="B55" s="23" t="s">
        <v>89</v>
      </c>
      <c r="G55" s="31"/>
      <c r="H55" s="31"/>
      <c r="I55" s="26">
        <v>0</v>
      </c>
      <c r="K55" s="85">
        <v>0</v>
      </c>
    </row>
    <row r="56" spans="2:11" s="23" customFormat="1" ht="12.75" hidden="1">
      <c r="B56" s="23" t="s">
        <v>90</v>
      </c>
      <c r="G56" s="31"/>
      <c r="H56" s="31"/>
      <c r="I56" s="26">
        <v>0</v>
      </c>
      <c r="K56" s="85">
        <v>0</v>
      </c>
    </row>
    <row r="57" spans="2:11" s="23" customFormat="1" ht="12.75" hidden="1">
      <c r="B57" s="23" t="s">
        <v>91</v>
      </c>
      <c r="G57" s="31"/>
      <c r="H57" s="31"/>
      <c r="I57" s="26" t="e">
        <f>SUM(#REF!)+#REF!-#REF!</f>
        <v>#REF!</v>
      </c>
      <c r="K57" s="85" t="e">
        <f>SUM(#REF!)+#REF!-#REF!</f>
        <v>#REF!</v>
      </c>
    </row>
    <row r="58" spans="2:11" s="23" customFormat="1" ht="13.5" thickBot="1">
      <c r="B58" s="2" t="s">
        <v>92</v>
      </c>
      <c r="G58" s="31"/>
      <c r="H58" s="31"/>
      <c r="I58" s="39">
        <f>I51+I53+I54</f>
        <v>19068</v>
      </c>
      <c r="K58" s="82" t="s">
        <v>31</v>
      </c>
    </row>
    <row r="59" spans="7:11" s="23" customFormat="1" ht="12.75">
      <c r="G59" s="31"/>
      <c r="H59" s="31"/>
      <c r="I59" s="31" t="s">
        <v>21</v>
      </c>
      <c r="K59" s="86" t="s">
        <v>21</v>
      </c>
    </row>
    <row r="60" spans="7:11" s="23" customFormat="1" ht="12.75">
      <c r="G60" s="31"/>
      <c r="H60" s="31"/>
      <c r="I60" s="31"/>
      <c r="K60" s="86"/>
    </row>
    <row r="61" spans="7:11" s="23" customFormat="1" ht="12.75" hidden="1">
      <c r="G61" s="31"/>
      <c r="H61" s="31"/>
      <c r="I61" s="31">
        <f>+I54</f>
        <v>1768</v>
      </c>
      <c r="K61" s="86" t="str">
        <f>+K54</f>
        <v>N/A</v>
      </c>
    </row>
    <row r="62" spans="7:11" s="23" customFormat="1" ht="12.75" hidden="1">
      <c r="G62" s="31"/>
      <c r="H62" s="31"/>
      <c r="I62" s="31">
        <v>2609204</v>
      </c>
      <c r="K62" s="86">
        <v>2609204</v>
      </c>
    </row>
    <row r="63" spans="9:11" s="23" customFormat="1" ht="12.75" hidden="1">
      <c r="I63" s="26">
        <f>+I61-I62</f>
        <v>-2607436</v>
      </c>
      <c r="K63" s="85" t="e">
        <f>+K61-K62</f>
        <v>#VALUE!</v>
      </c>
    </row>
    <row r="64" spans="9:11" s="23" customFormat="1" ht="12.75" hidden="1">
      <c r="I64" s="26"/>
      <c r="K64" s="85"/>
    </row>
    <row r="65" spans="9:11" s="23" customFormat="1" ht="12.75" hidden="1">
      <c r="I65" s="26"/>
      <c r="K65" s="85"/>
    </row>
    <row r="66" spans="9:11" s="23" customFormat="1" ht="12.75" hidden="1">
      <c r="I66" s="26"/>
      <c r="K66" s="85"/>
    </row>
    <row r="67" spans="2:11" s="23" customFormat="1" ht="13.5" thickBot="1">
      <c r="B67" s="23" t="s">
        <v>93</v>
      </c>
      <c r="G67" s="23" t="s">
        <v>215</v>
      </c>
      <c r="I67" s="41">
        <f>(I58-I13-I14)/(I51*10)*100</f>
        <v>19.236578893651764</v>
      </c>
      <c r="K67" s="83" t="s">
        <v>31</v>
      </c>
    </row>
    <row r="68" s="23" customFormat="1" ht="12.75">
      <c r="I68" s="42"/>
    </row>
    <row r="69" spans="2:9" s="23" customFormat="1" ht="12.75">
      <c r="B69" s="23" t="s">
        <v>94</v>
      </c>
      <c r="I69" s="26"/>
    </row>
    <row r="70" spans="2:9" s="23" customFormat="1" ht="12.75">
      <c r="B70" t="s">
        <v>213</v>
      </c>
      <c r="I70" s="26"/>
    </row>
    <row r="71" s="23" customFormat="1" ht="12.75">
      <c r="I71" s="26"/>
    </row>
    <row r="72" ht="12.75">
      <c r="B72" t="s">
        <v>187</v>
      </c>
    </row>
    <row r="73" spans="1:2" ht="12.75">
      <c r="A73" s="19"/>
      <c r="B73" t="s">
        <v>188</v>
      </c>
    </row>
    <row r="74" s="23" customFormat="1" ht="12.75">
      <c r="I74" s="26"/>
    </row>
    <row r="75" s="23" customFormat="1" ht="12.75">
      <c r="I75" s="26"/>
    </row>
    <row r="76" s="23" customFormat="1" ht="12.75">
      <c r="I76" s="26"/>
    </row>
    <row r="77" s="23" customFormat="1" ht="12.75">
      <c r="I77" s="26"/>
    </row>
    <row r="78" s="23" customFormat="1" ht="12.75">
      <c r="I78" s="26"/>
    </row>
    <row r="79" s="23" customFormat="1" ht="12.75">
      <c r="I79" s="26"/>
    </row>
    <row r="80" s="23" customFormat="1" ht="12.75">
      <c r="I80" s="26"/>
    </row>
    <row r="81" s="23" customFormat="1" ht="12.75">
      <c r="I81" s="26"/>
    </row>
    <row r="82" s="23" customFormat="1" ht="12.75">
      <c r="I82" s="26"/>
    </row>
    <row r="83" s="23" customFormat="1" ht="12.75">
      <c r="I83" s="26"/>
    </row>
    <row r="84" s="23" customFormat="1" ht="12.75">
      <c r="I84" s="26"/>
    </row>
  </sheetData>
  <mergeCells count="3">
    <mergeCell ref="A1:K1"/>
    <mergeCell ref="B2:K2"/>
    <mergeCell ref="A3:K3"/>
  </mergeCells>
  <printOptions/>
  <pageMargins left="0.81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342"/>
  <sheetViews>
    <sheetView workbookViewId="0" topLeftCell="A20">
      <selection activeCell="M22" sqref="M22:M23"/>
    </sheetView>
  </sheetViews>
  <sheetFormatPr defaultColWidth="9.140625" defaultRowHeight="12.75"/>
  <cols>
    <col min="1" max="14" width="1.7109375" style="19" customWidth="1"/>
    <col min="15" max="15" width="2.00390625" style="19" customWidth="1"/>
    <col min="16" max="21" width="1.7109375" style="19" customWidth="1"/>
    <col min="22" max="22" width="3.7109375" style="19" customWidth="1"/>
    <col min="23" max="23" width="11.8515625" style="19" customWidth="1"/>
    <col min="24" max="24" width="18.00390625" style="19" hidden="1" customWidth="1"/>
    <col min="25" max="25" width="11.421875" style="22" hidden="1" customWidth="1"/>
    <col min="26" max="26" width="0.85546875" style="22" hidden="1" customWidth="1"/>
    <col min="27" max="27" width="11.421875" style="22" hidden="1" customWidth="1"/>
    <col min="28" max="28" width="0.85546875" style="22" hidden="1" customWidth="1"/>
    <col min="29" max="29" width="11.421875" style="22" hidden="1" customWidth="1"/>
    <col min="30" max="30" width="0.85546875" style="22" hidden="1" customWidth="1"/>
    <col min="31" max="31" width="11.421875" style="22" hidden="1" customWidth="1"/>
    <col min="32" max="32" width="0.85546875" style="22" hidden="1" customWidth="1"/>
    <col min="33" max="33" width="11.421875" style="22" hidden="1" customWidth="1"/>
    <col min="34" max="34" width="0.85546875" style="22" hidden="1" customWidth="1"/>
    <col min="35" max="35" width="10.28125" style="22" hidden="1" customWidth="1"/>
    <col min="36" max="36" width="0.85546875" style="22" hidden="1" customWidth="1"/>
    <col min="37" max="37" width="12.57421875" style="43" hidden="1" customWidth="1"/>
    <col min="38" max="38" width="0.85546875" style="22" hidden="1" customWidth="1"/>
    <col min="39" max="39" width="12.7109375" style="22" hidden="1" customWidth="1"/>
    <col min="40" max="40" width="0.85546875" style="22" hidden="1" customWidth="1"/>
    <col min="41" max="41" width="2.7109375" style="22" hidden="1" customWidth="1"/>
    <col min="42" max="42" width="1.7109375" style="22" hidden="1" customWidth="1"/>
    <col min="43" max="43" width="11.421875" style="22" hidden="1" customWidth="1"/>
    <col min="44" max="44" width="11.7109375" style="22" hidden="1" customWidth="1"/>
    <col min="45" max="45" width="5.8515625" style="22" customWidth="1"/>
    <col min="46" max="46" width="1.1484375" style="22" customWidth="1"/>
    <col min="47" max="47" width="13.7109375" style="22" customWidth="1"/>
    <col min="48" max="48" width="5.8515625" style="22" customWidth="1"/>
    <col min="49" max="49" width="12.57421875" style="22" hidden="1" customWidth="1"/>
    <col min="50" max="51" width="14.8515625" style="22" customWidth="1"/>
    <col min="52" max="110" width="1.7109375" style="22" customWidth="1"/>
    <col min="111" max="16384" width="1.7109375" style="19" customWidth="1"/>
  </cols>
  <sheetData>
    <row r="1" spans="1:57" ht="20.25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92"/>
      <c r="AZ1" s="92"/>
      <c r="BA1" s="92"/>
      <c r="BB1" s="92"/>
      <c r="BC1" s="92"/>
      <c r="BD1" s="92"/>
      <c r="BE1" s="92"/>
    </row>
    <row r="2" spans="1:57" ht="12.75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93"/>
      <c r="AZ2" s="93"/>
      <c r="BA2" s="93"/>
      <c r="BB2" s="93"/>
      <c r="BC2" s="93"/>
      <c r="BD2" s="93"/>
      <c r="BE2" s="93"/>
    </row>
    <row r="3" spans="1:110" s="44" customFormat="1" ht="1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94"/>
      <c r="AZ3" s="94"/>
      <c r="BA3" s="94"/>
      <c r="BB3" s="94"/>
      <c r="BC3" s="94"/>
      <c r="BD3" s="94"/>
      <c r="BE3" s="94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</row>
    <row r="4" spans="1:110" s="44" customFormat="1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</row>
    <row r="5" spans="1:57" ht="12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87"/>
      <c r="AZ5" s="87"/>
      <c r="BA5" s="87"/>
      <c r="BB5" s="87"/>
      <c r="BC5" s="87"/>
      <c r="BD5" s="87"/>
      <c r="BE5" s="87"/>
    </row>
    <row r="6" spans="1:110" s="23" customFormat="1" ht="12.75">
      <c r="A6" s="106" t="s">
        <v>30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88"/>
      <c r="AZ6" s="88"/>
      <c r="BA6" s="88"/>
      <c r="BB6" s="88"/>
      <c r="BC6" s="88"/>
      <c r="BD6" s="88"/>
      <c r="BE6" s="88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</row>
    <row r="7" spans="1:110" s="23" customFormat="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</row>
    <row r="8" spans="25:110" s="23" customFormat="1" ht="12.75" customHeight="1">
      <c r="Y8" s="48"/>
      <c r="Z8" s="49"/>
      <c r="AA8" s="50"/>
      <c r="AB8" s="49"/>
      <c r="AC8" s="49"/>
      <c r="AD8" s="49"/>
      <c r="AE8" s="49"/>
      <c r="AF8" s="49"/>
      <c r="AG8" s="49"/>
      <c r="AH8" s="49"/>
      <c r="AI8" s="50"/>
      <c r="AJ8" s="49"/>
      <c r="AK8" s="107" t="s">
        <v>44</v>
      </c>
      <c r="AL8" s="49"/>
      <c r="AM8" s="51"/>
      <c r="AN8" s="26"/>
      <c r="AO8" s="26"/>
      <c r="AP8" s="26"/>
      <c r="AQ8" s="26"/>
      <c r="AR8" s="26"/>
      <c r="AS8" s="26"/>
      <c r="AT8" s="26"/>
      <c r="AU8" s="25" t="s">
        <v>151</v>
      </c>
      <c r="AV8" s="26"/>
      <c r="AW8" s="26"/>
      <c r="AX8" s="25" t="s">
        <v>6</v>
      </c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</row>
    <row r="9" spans="25:110" s="23" customFormat="1" ht="12.75">
      <c r="Y9" s="24" t="s">
        <v>41</v>
      </c>
      <c r="Z9" s="49"/>
      <c r="AA9" s="109" t="s">
        <v>42</v>
      </c>
      <c r="AB9" s="109"/>
      <c r="AC9" s="109"/>
      <c r="AD9" s="109"/>
      <c r="AE9" s="109"/>
      <c r="AF9" s="109"/>
      <c r="AG9" s="109"/>
      <c r="AH9" s="109"/>
      <c r="AI9" s="109"/>
      <c r="AJ9" s="49"/>
      <c r="AK9" s="108"/>
      <c r="AL9" s="49"/>
      <c r="AM9" s="52"/>
      <c r="AN9" s="26"/>
      <c r="AO9" s="26"/>
      <c r="AP9" s="26"/>
      <c r="AQ9" s="26"/>
      <c r="AR9" s="26"/>
      <c r="AS9" s="26"/>
      <c r="AT9" s="26"/>
      <c r="AU9" s="25" t="s">
        <v>5</v>
      </c>
      <c r="AV9" s="26"/>
      <c r="AW9" s="26"/>
      <c r="AX9" s="25" t="s">
        <v>8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</row>
    <row r="10" spans="29:110" s="23" customFormat="1" ht="12.75" customHeight="1">
      <c r="AC10" s="24" t="s">
        <v>43</v>
      </c>
      <c r="AH10" s="24"/>
      <c r="AJ10" s="49"/>
      <c r="AK10" s="108"/>
      <c r="AL10" s="49"/>
      <c r="AM10" s="52"/>
      <c r="AN10" s="26"/>
      <c r="AO10" s="26"/>
      <c r="AP10" s="26"/>
      <c r="AQ10" s="26"/>
      <c r="AR10" s="26"/>
      <c r="AS10" s="26"/>
      <c r="AT10" s="26"/>
      <c r="AU10" s="25" t="s">
        <v>152</v>
      </c>
      <c r="AV10" s="26"/>
      <c r="AW10" s="26"/>
      <c r="AX10" s="25" t="s">
        <v>9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</row>
    <row r="11" spans="25:110" s="23" customFormat="1" ht="12.75" customHeight="1">
      <c r="Y11" s="24"/>
      <c r="AA11" s="24" t="s">
        <v>43</v>
      </c>
      <c r="AC11" s="24" t="s">
        <v>46</v>
      </c>
      <c r="AE11" s="24"/>
      <c r="AF11" s="24"/>
      <c r="AG11" s="24" t="s">
        <v>47</v>
      </c>
      <c r="AH11" s="24"/>
      <c r="AI11" s="24" t="s">
        <v>43</v>
      </c>
      <c r="AJ11" s="49"/>
      <c r="AK11" s="108"/>
      <c r="AL11" s="49"/>
      <c r="AM11" s="52"/>
      <c r="AN11" s="26"/>
      <c r="AO11" s="26"/>
      <c r="AP11" s="26"/>
      <c r="AQ11" s="26"/>
      <c r="AR11" s="70" t="s">
        <v>12</v>
      </c>
      <c r="AS11" s="26"/>
      <c r="AT11" s="26"/>
      <c r="AU11" s="70" t="s">
        <v>189</v>
      </c>
      <c r="AV11" s="26"/>
      <c r="AW11" s="26"/>
      <c r="AX11" s="70" t="s">
        <v>209</v>
      </c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</row>
    <row r="12" spans="25:110" s="23" customFormat="1" ht="12.75">
      <c r="Y12" s="24" t="s">
        <v>48</v>
      </c>
      <c r="AA12" s="24" t="s">
        <v>49</v>
      </c>
      <c r="AC12" s="24" t="s">
        <v>50</v>
      </c>
      <c r="AE12" s="24" t="s">
        <v>51</v>
      </c>
      <c r="AF12" s="24"/>
      <c r="AG12" s="24" t="s">
        <v>52</v>
      </c>
      <c r="AI12" s="24" t="s">
        <v>53</v>
      </c>
      <c r="AJ12" s="49"/>
      <c r="AK12" s="53" t="s">
        <v>97</v>
      </c>
      <c r="AL12" s="48"/>
      <c r="AM12" s="24" t="s">
        <v>98</v>
      </c>
      <c r="AN12" s="26"/>
      <c r="AO12" s="26"/>
      <c r="AP12" s="26"/>
      <c r="AQ12" s="54" t="s">
        <v>12</v>
      </c>
      <c r="AR12" s="25" t="s">
        <v>153</v>
      </c>
      <c r="AS12" s="26"/>
      <c r="AT12" s="26"/>
      <c r="AU12" s="25" t="s">
        <v>153</v>
      </c>
      <c r="AV12" s="26"/>
      <c r="AW12" s="70" t="s">
        <v>191</v>
      </c>
      <c r="AX12" s="25" t="s">
        <v>153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</row>
    <row r="13" spans="2:110" s="23" customFormat="1" ht="12.75">
      <c r="B13" s="2" t="s">
        <v>99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</row>
    <row r="14" spans="2:110" s="23" customFormat="1" ht="12.75">
      <c r="B14" s="23" t="s">
        <v>100</v>
      </c>
      <c r="Y14" s="26">
        <v>25880</v>
      </c>
      <c r="Z14" s="26"/>
      <c r="AA14" s="26">
        <v>859607</v>
      </c>
      <c r="AB14" s="26"/>
      <c r="AC14" s="26">
        <v>239834</v>
      </c>
      <c r="AD14" s="26"/>
      <c r="AE14" s="26">
        <v>534384</v>
      </c>
      <c r="AF14" s="26"/>
      <c r="AG14" s="26">
        <v>100000</v>
      </c>
      <c r="AH14" s="26"/>
      <c r="AI14" s="26">
        <v>-2502</v>
      </c>
      <c r="AJ14" s="26"/>
      <c r="AK14" s="46">
        <f>-9628-19444-267+23600</f>
        <v>-5739</v>
      </c>
      <c r="AL14" s="26"/>
      <c r="AM14" s="26">
        <f>SUM(Y14:AI14)+AK14</f>
        <v>1751464</v>
      </c>
      <c r="AN14" s="26"/>
      <c r="AO14" s="26"/>
      <c r="AP14" s="26"/>
      <c r="AQ14" s="26">
        <v>344431</v>
      </c>
      <c r="AR14" s="26">
        <v>424</v>
      </c>
      <c r="AS14" s="26"/>
      <c r="AT14" s="26"/>
      <c r="AU14" s="26">
        <v>381</v>
      </c>
      <c r="AV14" s="26"/>
      <c r="AW14" s="26"/>
      <c r="AX14" s="71" t="s">
        <v>31</v>
      </c>
      <c r="AY14" s="26" t="s">
        <v>21</v>
      </c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</row>
    <row r="15" spans="2:110" s="23" customFormat="1" ht="12.75">
      <c r="B15" s="23" t="s">
        <v>101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4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71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</row>
    <row r="16" spans="3:110" s="23" customFormat="1" ht="12.75">
      <c r="C16" s="23" t="s">
        <v>32</v>
      </c>
      <c r="Y16" s="26">
        <v>0</v>
      </c>
      <c r="Z16" s="26"/>
      <c r="AA16" s="26">
        <v>60745</v>
      </c>
      <c r="AB16" s="26"/>
      <c r="AC16" s="26">
        <v>3421</v>
      </c>
      <c r="AD16" s="26"/>
      <c r="AE16" s="26">
        <v>41562</v>
      </c>
      <c r="AF16" s="26"/>
      <c r="AG16" s="26">
        <v>42380</v>
      </c>
      <c r="AH16" s="26"/>
      <c r="AI16" s="26">
        <v>0</v>
      </c>
      <c r="AJ16" s="26"/>
      <c r="AK16" s="46"/>
      <c r="AL16" s="26"/>
      <c r="AM16" s="26">
        <f aca="true" t="shared" si="0" ref="AM16:AM23">SUM(Y16:AI16)+AK16</f>
        <v>148108</v>
      </c>
      <c r="AN16" s="26"/>
      <c r="AO16" s="26"/>
      <c r="AP16" s="26"/>
      <c r="AQ16" s="26">
        <f>9208+1935+52187</f>
        <v>63330</v>
      </c>
      <c r="AR16" s="26">
        <v>63</v>
      </c>
      <c r="AS16" s="26"/>
      <c r="AT16" s="26"/>
      <c r="AU16" s="26">
        <v>135</v>
      </c>
      <c r="AV16" s="26"/>
      <c r="AW16" s="26"/>
      <c r="AX16" s="71" t="s">
        <v>31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</row>
    <row r="17" spans="3:110" s="23" customFormat="1" ht="12.75">
      <c r="C17" s="23" t="s">
        <v>102</v>
      </c>
      <c r="Y17" s="26">
        <v>0</v>
      </c>
      <c r="Z17" s="26"/>
      <c r="AA17" s="26">
        <v>0</v>
      </c>
      <c r="AB17" s="26"/>
      <c r="AC17" s="26">
        <v>0</v>
      </c>
      <c r="AD17" s="26"/>
      <c r="AE17" s="26">
        <v>0</v>
      </c>
      <c r="AF17" s="26"/>
      <c r="AG17" s="26">
        <v>0</v>
      </c>
      <c r="AH17" s="26"/>
      <c r="AI17" s="26">
        <v>0</v>
      </c>
      <c r="AJ17" s="26"/>
      <c r="AK17" s="46">
        <v>9628</v>
      </c>
      <c r="AL17" s="26"/>
      <c r="AM17" s="26">
        <f t="shared" si="0"/>
        <v>9628</v>
      </c>
      <c r="AN17" s="26"/>
      <c r="AO17" s="26"/>
      <c r="AP17" s="26"/>
      <c r="AQ17" s="26">
        <v>5567</v>
      </c>
      <c r="AR17" s="26">
        <v>6</v>
      </c>
      <c r="AS17" s="26"/>
      <c r="AT17" s="26"/>
      <c r="AU17" s="26">
        <v>11</v>
      </c>
      <c r="AV17" s="26"/>
      <c r="AW17" s="26"/>
      <c r="AX17" s="71" t="s">
        <v>31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</row>
    <row r="18" spans="3:110" s="23" customFormat="1" ht="12.75">
      <c r="C18" s="23" t="s">
        <v>103</v>
      </c>
      <c r="Y18" s="26">
        <v>0</v>
      </c>
      <c r="Z18" s="26"/>
      <c r="AA18" s="26">
        <v>0</v>
      </c>
      <c r="AB18" s="26"/>
      <c r="AC18" s="26">
        <v>0</v>
      </c>
      <c r="AD18" s="26"/>
      <c r="AE18" s="26">
        <v>0</v>
      </c>
      <c r="AF18" s="26"/>
      <c r="AG18" s="26">
        <v>0</v>
      </c>
      <c r="AH18" s="26"/>
      <c r="AI18" s="26">
        <v>0</v>
      </c>
      <c r="AJ18" s="26"/>
      <c r="AK18" s="46">
        <f>19444+267</f>
        <v>19711</v>
      </c>
      <c r="AL18" s="26"/>
      <c r="AM18" s="26">
        <f t="shared" si="0"/>
        <v>19711</v>
      </c>
      <c r="AN18" s="26"/>
      <c r="AO18" s="26"/>
      <c r="AP18" s="26"/>
      <c r="AQ18" s="29">
        <v>0</v>
      </c>
      <c r="AR18" s="62" t="s">
        <v>122</v>
      </c>
      <c r="AS18" s="26"/>
      <c r="AT18" s="26"/>
      <c r="AU18" s="62" t="s">
        <v>122</v>
      </c>
      <c r="AV18" s="26"/>
      <c r="AW18" s="71" t="s">
        <v>203</v>
      </c>
      <c r="AX18" s="71" t="s">
        <v>31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</row>
    <row r="19" spans="3:110" s="23" customFormat="1" ht="12.75">
      <c r="C19" s="23" t="s">
        <v>104</v>
      </c>
      <c r="Y19" s="26">
        <v>-32180</v>
      </c>
      <c r="Z19" s="26"/>
      <c r="AA19" s="26">
        <v>-7289</v>
      </c>
      <c r="AB19" s="26"/>
      <c r="AC19" s="26">
        <v>0</v>
      </c>
      <c r="AD19" s="26"/>
      <c r="AE19" s="26">
        <v>0</v>
      </c>
      <c r="AF19" s="26"/>
      <c r="AG19" s="26">
        <v>0</v>
      </c>
      <c r="AH19" s="26"/>
      <c r="AI19" s="26">
        <v>0</v>
      </c>
      <c r="AJ19" s="26"/>
      <c r="AK19" s="46"/>
      <c r="AL19" s="26"/>
      <c r="AM19" s="26">
        <f t="shared" si="0"/>
        <v>-39469</v>
      </c>
      <c r="AN19" s="26"/>
      <c r="AO19" s="26"/>
      <c r="AP19" s="26"/>
      <c r="AQ19" s="26">
        <v>-12817</v>
      </c>
      <c r="AR19" s="26">
        <v>-13</v>
      </c>
      <c r="AS19" s="26"/>
      <c r="AT19" s="26"/>
      <c r="AU19" s="26">
        <v>-48</v>
      </c>
      <c r="AV19" s="26"/>
      <c r="AW19" s="26"/>
      <c r="AX19" s="71" t="s">
        <v>31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</row>
    <row r="20" spans="3:110" s="23" customFormat="1" ht="12.75">
      <c r="C20" s="23" t="s">
        <v>105</v>
      </c>
      <c r="Y20" s="26">
        <v>0</v>
      </c>
      <c r="Z20" s="26"/>
      <c r="AA20" s="26">
        <v>-3090</v>
      </c>
      <c r="AB20" s="26"/>
      <c r="AC20" s="26">
        <v>0</v>
      </c>
      <c r="AD20" s="26"/>
      <c r="AE20" s="26">
        <v>0</v>
      </c>
      <c r="AF20" s="26"/>
      <c r="AG20" s="26"/>
      <c r="AH20" s="26"/>
      <c r="AI20" s="26">
        <v>0</v>
      </c>
      <c r="AJ20" s="26"/>
      <c r="AK20" s="46"/>
      <c r="AL20" s="26"/>
      <c r="AM20" s="26">
        <f t="shared" si="0"/>
        <v>-3090</v>
      </c>
      <c r="AN20" s="26"/>
      <c r="AO20" s="26"/>
      <c r="AP20" s="26"/>
      <c r="AQ20" s="26">
        <v>-1000</v>
      </c>
      <c r="AR20" s="26">
        <v>-1</v>
      </c>
      <c r="AS20" s="26"/>
      <c r="AT20" s="26"/>
      <c r="AU20" s="26">
        <v>-1</v>
      </c>
      <c r="AV20" s="26"/>
      <c r="AW20" s="26"/>
      <c r="AX20" s="71" t="s">
        <v>31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</row>
    <row r="21" spans="3:110" s="23" customFormat="1" ht="12.75">
      <c r="C21" s="23" t="s">
        <v>106</v>
      </c>
      <c r="Y21" s="26">
        <v>0</v>
      </c>
      <c r="Z21" s="26"/>
      <c r="AA21" s="26">
        <v>56013</v>
      </c>
      <c r="AB21" s="26"/>
      <c r="AC21" s="26">
        <v>0</v>
      </c>
      <c r="AD21" s="26"/>
      <c r="AE21" s="26">
        <v>1573</v>
      </c>
      <c r="AF21" s="26"/>
      <c r="AG21" s="26">
        <v>8098</v>
      </c>
      <c r="AH21" s="26"/>
      <c r="AI21" s="26">
        <v>0</v>
      </c>
      <c r="AJ21" s="26"/>
      <c r="AK21" s="46"/>
      <c r="AL21" s="26"/>
      <c r="AM21" s="26">
        <f t="shared" si="0"/>
        <v>65684</v>
      </c>
      <c r="AN21" s="26"/>
      <c r="AO21" s="26"/>
      <c r="AP21" s="26"/>
      <c r="AQ21" s="26">
        <v>28916</v>
      </c>
      <c r="AR21" s="26">
        <v>29</v>
      </c>
      <c r="AS21" s="26"/>
      <c r="AT21" s="26"/>
      <c r="AU21" s="26">
        <v>68</v>
      </c>
      <c r="AV21" s="26"/>
      <c r="AW21" s="26"/>
      <c r="AX21" s="71" t="s">
        <v>31</v>
      </c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</row>
    <row r="22" spans="3:110" s="23" customFormat="1" ht="12.75">
      <c r="C22" s="23" t="s">
        <v>107</v>
      </c>
      <c r="Y22" s="26">
        <v>0</v>
      </c>
      <c r="Z22" s="26"/>
      <c r="AA22" s="26">
        <v>282</v>
      </c>
      <c r="AB22" s="26"/>
      <c r="AC22" s="26">
        <v>0</v>
      </c>
      <c r="AD22" s="26"/>
      <c r="AE22" s="26">
        <v>0</v>
      </c>
      <c r="AF22" s="26"/>
      <c r="AG22" s="26">
        <v>0</v>
      </c>
      <c r="AH22" s="26"/>
      <c r="AI22" s="26">
        <v>0</v>
      </c>
      <c r="AJ22" s="26"/>
      <c r="AK22" s="46"/>
      <c r="AL22" s="26"/>
      <c r="AM22" s="26">
        <f t="shared" si="0"/>
        <v>282</v>
      </c>
      <c r="AN22" s="26"/>
      <c r="AO22" s="26"/>
      <c r="AP22" s="26"/>
      <c r="AQ22" s="26">
        <v>0</v>
      </c>
      <c r="AR22" s="26">
        <v>-80</v>
      </c>
      <c r="AS22" s="26"/>
      <c r="AT22" s="26"/>
      <c r="AU22" s="26">
        <v>-86</v>
      </c>
      <c r="AV22" s="26"/>
      <c r="AW22" s="26"/>
      <c r="AX22" s="71" t="s">
        <v>31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</row>
    <row r="23" spans="3:110" s="23" customFormat="1" ht="12.75">
      <c r="C23" s="23" t="s">
        <v>108</v>
      </c>
      <c r="Y23" s="30">
        <v>0</v>
      </c>
      <c r="Z23" s="26"/>
      <c r="AA23" s="30">
        <v>0</v>
      </c>
      <c r="AB23" s="26"/>
      <c r="AC23" s="30">
        <v>0</v>
      </c>
      <c r="AD23" s="26"/>
      <c r="AE23" s="30">
        <v>85384</v>
      </c>
      <c r="AF23" s="26"/>
      <c r="AG23" s="30">
        <v>0</v>
      </c>
      <c r="AH23" s="26"/>
      <c r="AI23" s="30">
        <v>0</v>
      </c>
      <c r="AJ23" s="26"/>
      <c r="AK23" s="46"/>
      <c r="AL23" s="26"/>
      <c r="AM23" s="30">
        <f t="shared" si="0"/>
        <v>85384</v>
      </c>
      <c r="AN23" s="26"/>
      <c r="AO23" s="26"/>
      <c r="AP23" s="26"/>
      <c r="AQ23" s="30">
        <v>10682</v>
      </c>
      <c r="AR23" s="30">
        <v>11</v>
      </c>
      <c r="AS23" s="26"/>
      <c r="AT23" s="26"/>
      <c r="AU23" s="30">
        <v>17</v>
      </c>
      <c r="AV23" s="26"/>
      <c r="AW23" s="26"/>
      <c r="AX23" s="71" t="s">
        <v>31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2:110" s="23" customFormat="1" ht="12.75">
      <c r="B24" s="23" t="s">
        <v>109</v>
      </c>
      <c r="Y24" s="26">
        <f>SUM(Y14:Y23)</f>
        <v>-6300</v>
      </c>
      <c r="Z24" s="26"/>
      <c r="AA24" s="26">
        <f>SUM(AA14:AA23)</f>
        <v>966268</v>
      </c>
      <c r="AB24" s="26"/>
      <c r="AC24" s="26">
        <f>SUM(AC14:AC23)</f>
        <v>243255</v>
      </c>
      <c r="AD24" s="26"/>
      <c r="AE24" s="26">
        <f>SUM(AE14:AE23)</f>
        <v>662903</v>
      </c>
      <c r="AF24" s="26"/>
      <c r="AG24" s="26">
        <f>SUM(AG14:AG23)</f>
        <v>150478</v>
      </c>
      <c r="AH24" s="26"/>
      <c r="AI24" s="26">
        <f>SUM(AI13:AI23)</f>
        <v>-2502</v>
      </c>
      <c r="AJ24" s="26"/>
      <c r="AK24" s="46"/>
      <c r="AL24" s="26"/>
      <c r="AM24" s="26">
        <f>SUM(AM14:AM23)</f>
        <v>2037702</v>
      </c>
      <c r="AN24" s="26"/>
      <c r="AO24" s="26"/>
      <c r="AP24" s="26"/>
      <c r="AQ24" s="26">
        <f>SUM(AQ14:AQ23)</f>
        <v>439109</v>
      </c>
      <c r="AR24" s="26">
        <f>SUM(AR14:AR23)</f>
        <v>439</v>
      </c>
      <c r="AS24" s="26"/>
      <c r="AT24" s="26"/>
      <c r="AU24" s="26">
        <f>SUM(AU14:AU23)</f>
        <v>477</v>
      </c>
      <c r="AV24" s="26"/>
      <c r="AW24" s="26"/>
      <c r="AX24" s="89" t="s">
        <v>31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25:110" s="23" customFormat="1" ht="12.75"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4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</row>
    <row r="26" spans="3:110" s="23" customFormat="1" ht="12.75">
      <c r="C26" s="23" t="s">
        <v>110</v>
      </c>
      <c r="Y26" s="26">
        <v>0</v>
      </c>
      <c r="Z26" s="26"/>
      <c r="AA26" s="26">
        <v>-409295</v>
      </c>
      <c r="AB26" s="26"/>
      <c r="AC26" s="26">
        <v>-1386</v>
      </c>
      <c r="AD26" s="26"/>
      <c r="AE26" s="26">
        <v>24644</v>
      </c>
      <c r="AF26" s="26"/>
      <c r="AG26" s="26">
        <v>346</v>
      </c>
      <c r="AH26" s="26"/>
      <c r="AI26" s="26">
        <v>0</v>
      </c>
      <c r="AJ26" s="26"/>
      <c r="AK26" s="46"/>
      <c r="AL26" s="26"/>
      <c r="AM26" s="26">
        <f>SUM(Y26:AI26)+AK26</f>
        <v>-385691</v>
      </c>
      <c r="AN26" s="26"/>
      <c r="AO26" s="26"/>
      <c r="AP26" s="26"/>
      <c r="AQ26" s="46">
        <v>-82304</v>
      </c>
      <c r="AR26" s="26">
        <v>-82</v>
      </c>
      <c r="AS26" s="26"/>
      <c r="AT26" s="26"/>
      <c r="AU26" s="26">
        <v>-125</v>
      </c>
      <c r="AV26" s="26"/>
      <c r="AW26" s="26"/>
      <c r="AX26" s="71" t="s">
        <v>31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</row>
    <row r="27" spans="3:110" s="23" customFormat="1" ht="12.75">
      <c r="C27" s="23" t="s">
        <v>111</v>
      </c>
      <c r="Y27" s="26">
        <v>713</v>
      </c>
      <c r="Z27" s="26"/>
      <c r="AA27" s="26">
        <v>-2552197</v>
      </c>
      <c r="AB27" s="26"/>
      <c r="AC27" s="26">
        <v>-71923</v>
      </c>
      <c r="AD27" s="26"/>
      <c r="AE27" s="26">
        <v>143041</v>
      </c>
      <c r="AF27" s="26"/>
      <c r="AG27" s="26">
        <v>66379</v>
      </c>
      <c r="AH27" s="26"/>
      <c r="AI27" s="26">
        <v>237</v>
      </c>
      <c r="AJ27" s="26"/>
      <c r="AK27" s="46"/>
      <c r="AL27" s="26"/>
      <c r="AM27" s="26">
        <f>SUM(Y27:AI27)+AK27</f>
        <v>-2413750</v>
      </c>
      <c r="AN27" s="26"/>
      <c r="AO27" s="26"/>
      <c r="AP27" s="26"/>
      <c r="AQ27" s="46">
        <f>-1563131+75453</f>
        <v>-1487678</v>
      </c>
      <c r="AR27" s="26">
        <v>-1517</v>
      </c>
      <c r="AS27" s="26"/>
      <c r="AT27" s="26"/>
      <c r="AU27" s="26">
        <v>-1100</v>
      </c>
      <c r="AV27" s="26"/>
      <c r="AW27" s="71" t="s">
        <v>201</v>
      </c>
      <c r="AX27" s="71" t="s">
        <v>31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</row>
    <row r="28" spans="3:110" s="23" customFormat="1" ht="12.75">
      <c r="C28" s="23" t="s">
        <v>112</v>
      </c>
      <c r="Y28" s="26">
        <v>-73864</v>
      </c>
      <c r="Z28" s="26"/>
      <c r="AA28" s="26">
        <v>1866881</v>
      </c>
      <c r="AB28" s="26"/>
      <c r="AC28" s="26">
        <v>-145011</v>
      </c>
      <c r="AD28" s="26"/>
      <c r="AE28" s="26">
        <v>-66816</v>
      </c>
      <c r="AF28" s="26"/>
      <c r="AG28" s="26">
        <v>-117611</v>
      </c>
      <c r="AH28" s="26"/>
      <c r="AI28" s="26">
        <v>2065</v>
      </c>
      <c r="AJ28" s="26"/>
      <c r="AK28" s="40">
        <v>-23600</v>
      </c>
      <c r="AL28" s="26"/>
      <c r="AM28" s="26">
        <f>SUM(Y28:AI28)+AK28</f>
        <v>1442044</v>
      </c>
      <c r="AN28" s="26"/>
      <c r="AO28" s="26"/>
      <c r="AP28" s="26"/>
      <c r="AQ28" s="26">
        <f>379061+117250</f>
        <v>496311</v>
      </c>
      <c r="AR28" s="26">
        <v>412</v>
      </c>
      <c r="AS28" s="26"/>
      <c r="AT28" s="26"/>
      <c r="AU28" s="26">
        <v>-1063</v>
      </c>
      <c r="AV28" s="26"/>
      <c r="AW28" s="26"/>
      <c r="AX28" s="71" t="s">
        <v>31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3:110" s="23" customFormat="1" ht="12.75">
      <c r="C29" s="23" t="s">
        <v>113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40"/>
      <c r="AL29" s="26"/>
      <c r="AM29" s="26"/>
      <c r="AN29" s="26"/>
      <c r="AO29" s="26"/>
      <c r="AP29" s="26"/>
      <c r="AQ29" s="26">
        <v>29561</v>
      </c>
      <c r="AR29" s="30">
        <v>29</v>
      </c>
      <c r="AS29" s="26"/>
      <c r="AT29" s="26"/>
      <c r="AU29" s="30">
        <v>7</v>
      </c>
      <c r="AV29" s="26"/>
      <c r="AW29" s="26"/>
      <c r="AX29" s="71" t="s">
        <v>31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</row>
    <row r="30" spans="3:110" s="23" customFormat="1" ht="12.75" hidden="1">
      <c r="C30" s="23" t="s">
        <v>114</v>
      </c>
      <c r="Y30" s="26">
        <v>0</v>
      </c>
      <c r="Z30" s="26"/>
      <c r="AA30" s="26">
        <v>-35105</v>
      </c>
      <c r="AB30" s="26"/>
      <c r="AC30" s="26">
        <v>113581</v>
      </c>
      <c r="AD30" s="26"/>
      <c r="AE30" s="26">
        <v>-650428</v>
      </c>
      <c r="AF30" s="26"/>
      <c r="AG30" s="26">
        <v>67998</v>
      </c>
      <c r="AH30" s="26"/>
      <c r="AI30" s="26">
        <v>200</v>
      </c>
      <c r="AJ30" s="26"/>
      <c r="AK30" s="46">
        <v>303568</v>
      </c>
      <c r="AL30" s="26"/>
      <c r="AM30" s="26">
        <f>SUM(Y30:AI30)+AK30</f>
        <v>-200186</v>
      </c>
      <c r="AN30" s="26"/>
      <c r="AO30" s="26"/>
      <c r="AP30" s="26"/>
      <c r="AQ30" s="26">
        <v>0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</row>
    <row r="31" spans="3:110" s="23" customFormat="1" ht="12.75" hidden="1">
      <c r="C31" s="23" t="s">
        <v>74</v>
      </c>
      <c r="X31" s="26"/>
      <c r="Y31" s="30">
        <v>303568</v>
      </c>
      <c r="Z31" s="26"/>
      <c r="AA31" s="30">
        <v>0</v>
      </c>
      <c r="AB31" s="26"/>
      <c r="AC31" s="30">
        <v>0</v>
      </c>
      <c r="AD31" s="26"/>
      <c r="AE31" s="30">
        <v>0</v>
      </c>
      <c r="AF31" s="26"/>
      <c r="AG31" s="30">
        <v>0</v>
      </c>
      <c r="AH31" s="26"/>
      <c r="AI31" s="30">
        <v>0</v>
      </c>
      <c r="AJ31" s="26"/>
      <c r="AK31" s="46">
        <v>-303568</v>
      </c>
      <c r="AL31" s="26"/>
      <c r="AM31" s="30">
        <f>SUM(Y31:AI31)+AK31</f>
        <v>0</v>
      </c>
      <c r="AN31" s="26"/>
      <c r="AO31" s="26"/>
      <c r="AP31" s="26"/>
      <c r="AQ31" s="30">
        <v>0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</row>
    <row r="32" spans="2:110" s="23" customFormat="1" ht="12.75">
      <c r="B32" s="23" t="s">
        <v>115</v>
      </c>
      <c r="Y32" s="26">
        <f>SUM(Y24:Y31)</f>
        <v>224117</v>
      </c>
      <c r="Z32" s="26"/>
      <c r="AA32" s="26">
        <f>SUM(AA24:AA31)</f>
        <v>-163448</v>
      </c>
      <c r="AB32" s="26"/>
      <c r="AC32" s="26">
        <f>SUM(AC24:AC31)</f>
        <v>138516</v>
      </c>
      <c r="AD32" s="26"/>
      <c r="AE32" s="26">
        <f>SUM(AE24:AE31)</f>
        <v>113344</v>
      </c>
      <c r="AF32" s="26"/>
      <c r="AG32" s="26">
        <f>SUM(AG24:AG31)</f>
        <v>167590</v>
      </c>
      <c r="AH32" s="26"/>
      <c r="AI32" s="26">
        <f>SUM(AI24:AI31)</f>
        <v>0</v>
      </c>
      <c r="AJ32" s="26"/>
      <c r="AK32" s="46"/>
      <c r="AL32" s="26"/>
      <c r="AM32" s="26">
        <f>SUM(AM24:AM31)</f>
        <v>480119</v>
      </c>
      <c r="AN32" s="26"/>
      <c r="AO32" s="26"/>
      <c r="AP32" s="26"/>
      <c r="AQ32" s="26">
        <f>SUM(AQ24:AQ31)</f>
        <v>-605001</v>
      </c>
      <c r="AR32" s="26">
        <f>SUM(AR24:AR29)</f>
        <v>-719</v>
      </c>
      <c r="AS32" s="26"/>
      <c r="AT32" s="26"/>
      <c r="AU32" s="26">
        <f>SUM(AU24:AU29)</f>
        <v>-1804</v>
      </c>
      <c r="AV32" s="26"/>
      <c r="AW32" s="26"/>
      <c r="AX32" s="89" t="s">
        <v>31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</row>
    <row r="33" spans="25:110" s="23" customFormat="1" ht="12.75"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4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</row>
    <row r="34" spans="3:110" s="23" customFormat="1" ht="12.75">
      <c r="C34" s="23" t="s">
        <v>116</v>
      </c>
      <c r="Y34" s="26">
        <v>28414</v>
      </c>
      <c r="Z34" s="26"/>
      <c r="AA34" s="26">
        <v>6648</v>
      </c>
      <c r="AB34" s="26"/>
      <c r="AC34" s="26">
        <v>0</v>
      </c>
      <c r="AD34" s="26"/>
      <c r="AE34" s="26">
        <v>0</v>
      </c>
      <c r="AF34" s="26"/>
      <c r="AG34" s="26">
        <v>0</v>
      </c>
      <c r="AH34" s="26"/>
      <c r="AI34" s="26">
        <v>0</v>
      </c>
      <c r="AJ34" s="26"/>
      <c r="AK34" s="46"/>
      <c r="AL34" s="26"/>
      <c r="AM34" s="26">
        <f>SUM(Y34:AI34)+AK34</f>
        <v>35062</v>
      </c>
      <c r="AN34" s="26"/>
      <c r="AO34" s="26"/>
      <c r="AP34" s="26"/>
      <c r="AQ34" s="26">
        <f>3023+13562</f>
        <v>16585</v>
      </c>
      <c r="AR34" s="26">
        <v>17</v>
      </c>
      <c r="AS34" s="26"/>
      <c r="AT34" s="26"/>
      <c r="AU34" s="26">
        <v>39</v>
      </c>
      <c r="AV34" s="26"/>
      <c r="AW34" s="71" t="s">
        <v>202</v>
      </c>
      <c r="AX34" s="71" t="s">
        <v>31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</row>
    <row r="35" spans="3:110" s="23" customFormat="1" ht="12.75">
      <c r="C35" s="37" t="s">
        <v>156</v>
      </c>
      <c r="Y35" s="26">
        <v>0</v>
      </c>
      <c r="Z35" s="26"/>
      <c r="AA35" s="26">
        <v>-54366</v>
      </c>
      <c r="AB35" s="26"/>
      <c r="AC35" s="26">
        <v>0</v>
      </c>
      <c r="AD35" s="26"/>
      <c r="AE35" s="26">
        <v>0</v>
      </c>
      <c r="AF35" s="26"/>
      <c r="AG35" s="26">
        <v>0</v>
      </c>
      <c r="AH35" s="26"/>
      <c r="AI35" s="26">
        <v>0</v>
      </c>
      <c r="AJ35" s="26"/>
      <c r="AK35" s="46"/>
      <c r="AL35" s="26"/>
      <c r="AM35" s="26">
        <f>SUM(Y35:AI35)+AK35</f>
        <v>-54366</v>
      </c>
      <c r="AN35" s="26"/>
      <c r="AO35" s="26"/>
      <c r="AP35" s="26"/>
      <c r="AQ35" s="47">
        <v>-20658</v>
      </c>
      <c r="AR35" s="26">
        <v>-29</v>
      </c>
      <c r="AS35" s="26"/>
      <c r="AT35" s="26"/>
      <c r="AU35" s="26">
        <v>-68.47</v>
      </c>
      <c r="AV35" s="26"/>
      <c r="AW35" s="26"/>
      <c r="AX35" s="71" t="s">
        <v>31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</row>
    <row r="36" spans="3:110" s="23" customFormat="1" ht="12.75" hidden="1">
      <c r="C36" s="23" t="s">
        <v>117</v>
      </c>
      <c r="Y36" s="26">
        <v>0</v>
      </c>
      <c r="Z36" s="26"/>
      <c r="AA36" s="26">
        <v>0</v>
      </c>
      <c r="AB36" s="26"/>
      <c r="AC36" s="26">
        <v>0</v>
      </c>
      <c r="AD36" s="26"/>
      <c r="AE36" s="26">
        <v>-48065</v>
      </c>
      <c r="AF36" s="26"/>
      <c r="AG36" s="26">
        <v>0</v>
      </c>
      <c r="AH36" s="26"/>
      <c r="AI36" s="26">
        <v>0</v>
      </c>
      <c r="AJ36" s="26"/>
      <c r="AK36" s="46"/>
      <c r="AL36" s="26"/>
      <c r="AM36" s="26">
        <f>SUM(Y36:AI36)+AK36</f>
        <v>-48065</v>
      </c>
      <c r="AN36" s="26"/>
      <c r="AO36" s="26"/>
      <c r="AP36" s="26"/>
      <c r="AQ36" s="26">
        <v>0</v>
      </c>
      <c r="AR36" s="26"/>
      <c r="AS36" s="26"/>
      <c r="AT36" s="26"/>
      <c r="AU36" s="26"/>
      <c r="AV36" s="26"/>
      <c r="AW36" s="26"/>
      <c r="AX36" s="71" t="s">
        <v>31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</row>
    <row r="37" spans="3:110" s="23" customFormat="1" ht="12.75">
      <c r="C37" s="23" t="s">
        <v>118</v>
      </c>
      <c r="Y37" s="30">
        <v>-1486</v>
      </c>
      <c r="Z37" s="26"/>
      <c r="AA37" s="55">
        <v>-135478</v>
      </c>
      <c r="AB37" s="26"/>
      <c r="AC37" s="30">
        <v>-41034</v>
      </c>
      <c r="AD37" s="26"/>
      <c r="AE37" s="30">
        <v>-37280</v>
      </c>
      <c r="AF37" s="26"/>
      <c r="AG37" s="30">
        <v>-60033</v>
      </c>
      <c r="AH37" s="26"/>
      <c r="AI37" s="30">
        <v>0</v>
      </c>
      <c r="AJ37" s="26"/>
      <c r="AK37" s="46"/>
      <c r="AL37" s="26"/>
      <c r="AM37" s="30">
        <f>SUM(Y37:AI37)+AK37</f>
        <v>-275311</v>
      </c>
      <c r="AN37" s="26"/>
      <c r="AO37" s="26"/>
      <c r="AP37" s="26"/>
      <c r="AQ37" s="56"/>
      <c r="AR37" s="30">
        <v>-67</v>
      </c>
      <c r="AS37" s="31"/>
      <c r="AT37" s="31"/>
      <c r="AU37" s="30">
        <v>-144.2</v>
      </c>
      <c r="AV37" s="26"/>
      <c r="AW37" s="71" t="s">
        <v>192</v>
      </c>
      <c r="AX37" s="71" t="s">
        <v>31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</row>
    <row r="38" spans="2:110" s="23" customFormat="1" ht="12.75">
      <c r="B38" s="23" t="s">
        <v>119</v>
      </c>
      <c r="W38" s="23" t="s">
        <v>215</v>
      </c>
      <c r="Y38" s="30">
        <f>SUM(Y32:Y37)</f>
        <v>251045</v>
      </c>
      <c r="Z38" s="26"/>
      <c r="AA38" s="30">
        <f>SUM(AA32:AA37)</f>
        <v>-346644</v>
      </c>
      <c r="AB38" s="26"/>
      <c r="AC38" s="30">
        <f>SUM(AC32:AC37)</f>
        <v>97482</v>
      </c>
      <c r="AD38" s="26"/>
      <c r="AE38" s="30">
        <f>SUM(AE32:AE37)</f>
        <v>27999</v>
      </c>
      <c r="AF38" s="26"/>
      <c r="AG38" s="30">
        <f>SUM(AG32:AG37)</f>
        <v>107557</v>
      </c>
      <c r="AH38" s="26"/>
      <c r="AI38" s="30">
        <f>SUM(AI32:AI37)</f>
        <v>0</v>
      </c>
      <c r="AJ38" s="26"/>
      <c r="AK38" s="46"/>
      <c r="AL38" s="26"/>
      <c r="AM38" s="30">
        <f>SUM(AM32:AM37)</f>
        <v>137439</v>
      </c>
      <c r="AN38" s="26"/>
      <c r="AO38" s="26"/>
      <c r="AP38" s="26"/>
      <c r="AQ38" s="31">
        <f>SUM(AQ32:AQ37)</f>
        <v>-609074</v>
      </c>
      <c r="AR38" s="26">
        <f>SUM(AR32:AR37)</f>
        <v>-798</v>
      </c>
      <c r="AS38" s="26"/>
      <c r="AT38" s="26"/>
      <c r="AU38" s="26">
        <f>SUM(AU32:AU37)</f>
        <v>-1977.67</v>
      </c>
      <c r="AV38" s="26"/>
      <c r="AW38" s="26"/>
      <c r="AX38" s="89" t="s">
        <v>31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</row>
    <row r="39" spans="25:110" s="23" customFormat="1" ht="12.75"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4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</row>
    <row r="40" spans="2:110" s="23" customFormat="1" ht="12.75">
      <c r="B40" s="2" t="s">
        <v>120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4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</row>
    <row r="41" spans="3:110" s="23" customFormat="1" ht="12.75">
      <c r="C41" s="23" t="s">
        <v>121</v>
      </c>
      <c r="Y41" s="26">
        <v>0</v>
      </c>
      <c r="Z41" s="26"/>
      <c r="AA41" s="26">
        <v>-37401</v>
      </c>
      <c r="AB41" s="26"/>
      <c r="AC41" s="26">
        <v>-4563</v>
      </c>
      <c r="AD41" s="26"/>
      <c r="AE41" s="26">
        <v>-1360</v>
      </c>
      <c r="AF41" s="26"/>
      <c r="AG41" s="26">
        <v>-10496</v>
      </c>
      <c r="AH41" s="26"/>
      <c r="AI41" s="26">
        <v>0</v>
      </c>
      <c r="AJ41" s="26"/>
      <c r="AK41" s="46"/>
      <c r="AL41" s="26"/>
      <c r="AM41" s="26">
        <f>SUM(Y41:AI41)+AK41</f>
        <v>-53820</v>
      </c>
      <c r="AN41" s="26"/>
      <c r="AO41" s="26"/>
      <c r="AP41" s="26"/>
      <c r="AQ41" s="57">
        <f>1117</f>
        <v>1117</v>
      </c>
      <c r="AR41" s="26">
        <v>-97</v>
      </c>
      <c r="AS41" s="26"/>
      <c r="AT41" s="26"/>
      <c r="AU41" s="26">
        <f>-166</f>
        <v>-166</v>
      </c>
      <c r="AV41" s="26"/>
      <c r="AW41" s="71" t="s">
        <v>193</v>
      </c>
      <c r="AX41" s="71" t="s">
        <v>31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</row>
    <row r="42" spans="3:110" s="23" customFormat="1" ht="12.75">
      <c r="C42" s="23" t="s">
        <v>123</v>
      </c>
      <c r="Y42" s="26">
        <v>0</v>
      </c>
      <c r="Z42" s="26"/>
      <c r="AA42" s="26">
        <v>-288977</v>
      </c>
      <c r="AB42" s="26"/>
      <c r="AC42" s="26">
        <v>0</v>
      </c>
      <c r="AD42" s="26"/>
      <c r="AE42" s="26">
        <v>0</v>
      </c>
      <c r="AF42" s="26"/>
      <c r="AG42" s="26">
        <v>0</v>
      </c>
      <c r="AH42" s="26"/>
      <c r="AI42" s="26">
        <v>0</v>
      </c>
      <c r="AJ42" s="26"/>
      <c r="AK42" s="46"/>
      <c r="AL42" s="26"/>
      <c r="AM42" s="26">
        <f>SUM(Y42:AI42)+AK42</f>
        <v>-288977</v>
      </c>
      <c r="AN42" s="26"/>
      <c r="AO42" s="26"/>
      <c r="AP42" s="26"/>
      <c r="AQ42" s="26">
        <v>0</v>
      </c>
      <c r="AR42" s="26">
        <v>-91</v>
      </c>
      <c r="AS42" s="26"/>
      <c r="AT42" s="26"/>
      <c r="AU42" s="26">
        <v>-325</v>
      </c>
      <c r="AV42" s="26"/>
      <c r="AW42" s="71" t="s">
        <v>194</v>
      </c>
      <c r="AX42" s="71" t="s">
        <v>31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</row>
    <row r="43" spans="3:110" s="23" customFormat="1" ht="12.75">
      <c r="C43" s="23" t="s">
        <v>155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46"/>
      <c r="AL43" s="26"/>
      <c r="AM43" s="26"/>
      <c r="AN43" s="26"/>
      <c r="AO43" s="26"/>
      <c r="AP43" s="26"/>
      <c r="AQ43" s="26">
        <v>0</v>
      </c>
      <c r="AR43" s="26">
        <v>-353</v>
      </c>
      <c r="AS43" s="26"/>
      <c r="AT43" s="26"/>
      <c r="AU43" s="26">
        <v>-353</v>
      </c>
      <c r="AV43" s="26"/>
      <c r="AW43" s="71" t="s">
        <v>195</v>
      </c>
      <c r="AX43" s="71" t="s">
        <v>31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</row>
    <row r="44" spans="3:110" s="23" customFormat="1" ht="12.75" hidden="1">
      <c r="C44" s="23" t="s">
        <v>124</v>
      </c>
      <c r="X44" s="23" t="s">
        <v>125</v>
      </c>
      <c r="Y44" s="26">
        <v>0</v>
      </c>
      <c r="Z44" s="26"/>
      <c r="AA44" s="26">
        <v>0</v>
      </c>
      <c r="AB44" s="26"/>
      <c r="AC44" s="26">
        <v>0</v>
      </c>
      <c r="AD44" s="26"/>
      <c r="AE44" s="26">
        <v>0</v>
      </c>
      <c r="AF44" s="26"/>
      <c r="AG44" s="26">
        <v>0</v>
      </c>
      <c r="AH44" s="26"/>
      <c r="AI44" s="26">
        <v>0</v>
      </c>
      <c r="AJ44" s="26"/>
      <c r="AK44" s="46"/>
      <c r="AL44" s="26"/>
      <c r="AM44" s="26">
        <f>SUM(Y44:AI44)+AK44</f>
        <v>0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</row>
    <row r="45" spans="2:110" s="23" customFormat="1" ht="12.75">
      <c r="B45" s="23" t="s">
        <v>126</v>
      </c>
      <c r="Y45" s="58">
        <f>SUM(Y41:Y44)</f>
        <v>0</v>
      </c>
      <c r="Z45" s="26"/>
      <c r="AA45" s="58">
        <f>SUM(AA41:AA44)</f>
        <v>-326378</v>
      </c>
      <c r="AB45" s="26"/>
      <c r="AC45" s="58">
        <f>SUM(AC41:AC44)</f>
        <v>-4563</v>
      </c>
      <c r="AD45" s="26"/>
      <c r="AE45" s="58">
        <f>SUM(AE41:AE44)</f>
        <v>-1360</v>
      </c>
      <c r="AF45" s="26"/>
      <c r="AG45" s="58">
        <f>SUM(AG41:AG44)</f>
        <v>-10496</v>
      </c>
      <c r="AH45" s="26"/>
      <c r="AI45" s="58">
        <f>SUM(AI41:AI44)</f>
        <v>0</v>
      </c>
      <c r="AJ45" s="26"/>
      <c r="AK45" s="46"/>
      <c r="AL45" s="26"/>
      <c r="AM45" s="58">
        <f>SUM(AM41:AM44)</f>
        <v>-342797</v>
      </c>
      <c r="AN45" s="26"/>
      <c r="AO45" s="26"/>
      <c r="AP45" s="26"/>
      <c r="AQ45" s="58">
        <f>SUM(AQ41:AQ44)</f>
        <v>1117</v>
      </c>
      <c r="AR45" s="58">
        <f>SUM(AR41:AR44)</f>
        <v>-541</v>
      </c>
      <c r="AS45" s="26"/>
      <c r="AT45" s="26"/>
      <c r="AU45" s="58">
        <f>SUM(AU41:AU44)</f>
        <v>-844</v>
      </c>
      <c r="AV45" s="26"/>
      <c r="AW45" s="26"/>
      <c r="AX45" s="90" t="s">
        <v>31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</row>
    <row r="46" spans="25:110" s="23" customFormat="1" ht="12.75"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</row>
    <row r="47" spans="2:110" s="23" customFormat="1" ht="12.75">
      <c r="B47" s="2" t="s">
        <v>127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</row>
    <row r="48" spans="3:110" s="23" customFormat="1" ht="12.75">
      <c r="C48" s="23" t="s">
        <v>128</v>
      </c>
      <c r="Y48" s="26">
        <v>0</v>
      </c>
      <c r="Z48" s="26"/>
      <c r="AA48" s="26">
        <v>-9900</v>
      </c>
      <c r="AB48" s="26"/>
      <c r="AC48" s="26">
        <v>0</v>
      </c>
      <c r="AD48" s="26"/>
      <c r="AE48" s="26">
        <v>-7741</v>
      </c>
      <c r="AF48" s="26"/>
      <c r="AG48" s="26">
        <v>-32131</v>
      </c>
      <c r="AH48" s="26"/>
      <c r="AI48" s="26">
        <v>0</v>
      </c>
      <c r="AJ48" s="26"/>
      <c r="AK48" s="46"/>
      <c r="AL48" s="26"/>
      <c r="AM48" s="26">
        <f>SUM(Y48:AI48)+AK48</f>
        <v>-49772</v>
      </c>
      <c r="AN48" s="26"/>
      <c r="AO48" s="26" t="s">
        <v>129</v>
      </c>
      <c r="AP48" s="26"/>
      <c r="AQ48" s="47">
        <v>-63238</v>
      </c>
      <c r="AR48" s="26">
        <v>-55</v>
      </c>
      <c r="AS48" s="26"/>
      <c r="AT48" s="26"/>
      <c r="AU48" s="26">
        <v>-118</v>
      </c>
      <c r="AV48" s="26"/>
      <c r="AW48" s="71" t="s">
        <v>196</v>
      </c>
      <c r="AX48" s="71" t="s">
        <v>31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</row>
    <row r="49" spans="3:110" s="23" customFormat="1" ht="12.75">
      <c r="C49" s="37" t="s">
        <v>130</v>
      </c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46"/>
      <c r="AL49" s="26"/>
      <c r="AM49" s="26"/>
      <c r="AN49" s="26"/>
      <c r="AO49" s="26"/>
      <c r="AP49" s="26"/>
      <c r="AQ49" s="46"/>
      <c r="AR49" s="26">
        <v>-6</v>
      </c>
      <c r="AS49" s="26"/>
      <c r="AT49" s="26"/>
      <c r="AU49" s="26">
        <v>-5</v>
      </c>
      <c r="AV49" s="26"/>
      <c r="AW49" s="71" t="s">
        <v>197</v>
      </c>
      <c r="AX49" s="71" t="s">
        <v>31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</row>
    <row r="50" spans="3:110" s="23" customFormat="1" ht="12.75">
      <c r="C50" s="59" t="s">
        <v>131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46"/>
      <c r="AL50" s="26"/>
      <c r="AM50" s="26"/>
      <c r="AN50" s="26"/>
      <c r="AO50" s="26"/>
      <c r="AP50" s="26"/>
      <c r="AQ50" s="46"/>
      <c r="AR50" s="26">
        <v>80</v>
      </c>
      <c r="AS50" s="26"/>
      <c r="AT50" s="26"/>
      <c r="AU50" s="26">
        <v>135</v>
      </c>
      <c r="AV50" s="26"/>
      <c r="AW50" s="71" t="s">
        <v>193</v>
      </c>
      <c r="AX50" s="71" t="s">
        <v>31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</row>
    <row r="51" spans="3:110" s="23" customFormat="1" ht="12.75">
      <c r="C51" s="23" t="s">
        <v>132</v>
      </c>
      <c r="Y51" s="26">
        <v>0</v>
      </c>
      <c r="Z51" s="26"/>
      <c r="AA51" s="26">
        <v>949248</v>
      </c>
      <c r="AB51" s="26"/>
      <c r="AC51" s="26">
        <v>0</v>
      </c>
      <c r="AD51" s="26"/>
      <c r="AE51" s="26">
        <v>0</v>
      </c>
      <c r="AF51" s="26"/>
      <c r="AG51" s="26">
        <v>0</v>
      </c>
      <c r="AH51" s="26"/>
      <c r="AI51" s="26">
        <v>0</v>
      </c>
      <c r="AJ51" s="26"/>
      <c r="AK51" s="46"/>
      <c r="AL51" s="26"/>
      <c r="AM51" s="26">
        <f>SUM(Y51:AI51)+AK51</f>
        <v>949248</v>
      </c>
      <c r="AN51" s="26"/>
      <c r="AO51" s="26"/>
      <c r="AP51" s="26"/>
      <c r="AQ51" s="26">
        <v>0</v>
      </c>
      <c r="AR51" s="26">
        <v>-477</v>
      </c>
      <c r="AS51" s="26"/>
      <c r="AT51" s="26"/>
      <c r="AU51" s="26">
        <v>-784</v>
      </c>
      <c r="AV51" s="26"/>
      <c r="AW51" s="71" t="s">
        <v>198</v>
      </c>
      <c r="AX51" s="71" t="s">
        <v>31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</row>
    <row r="52" spans="3:110" s="23" customFormat="1" ht="12.75">
      <c r="C52" s="23" t="s">
        <v>133</v>
      </c>
      <c r="Y52" s="26">
        <v>-317433</v>
      </c>
      <c r="Z52" s="26"/>
      <c r="AA52" s="26">
        <v>0</v>
      </c>
      <c r="AB52" s="26"/>
      <c r="AC52" s="26">
        <v>0</v>
      </c>
      <c r="AD52" s="26"/>
      <c r="AE52" s="26">
        <v>0</v>
      </c>
      <c r="AF52" s="26"/>
      <c r="AG52" s="26">
        <v>0</v>
      </c>
      <c r="AH52" s="26"/>
      <c r="AI52" s="26">
        <v>0</v>
      </c>
      <c r="AJ52" s="26"/>
      <c r="AK52" s="46"/>
      <c r="AL52" s="26"/>
      <c r="AM52" s="26">
        <f>SUM(Y52:AI52)+AK52</f>
        <v>-317433</v>
      </c>
      <c r="AN52" s="26"/>
      <c r="AO52" s="26"/>
      <c r="AP52" s="26"/>
      <c r="AQ52" s="26">
        <v>-77338</v>
      </c>
      <c r="AR52" s="26">
        <v>-79</v>
      </c>
      <c r="AS52" s="26"/>
      <c r="AT52" s="26"/>
      <c r="AU52" s="26">
        <v>-760</v>
      </c>
      <c r="AV52" s="26"/>
      <c r="AW52" s="71" t="s">
        <v>199</v>
      </c>
      <c r="AX52" s="71" t="s">
        <v>31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</row>
    <row r="53" spans="3:110" s="23" customFormat="1" ht="12.75">
      <c r="C53" s="23" t="s">
        <v>190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46"/>
      <c r="AL53" s="26"/>
      <c r="AM53" s="26"/>
      <c r="AN53" s="26"/>
      <c r="AO53" s="26"/>
      <c r="AP53" s="26"/>
      <c r="AQ53" s="26"/>
      <c r="AR53" s="26"/>
      <c r="AS53" s="26"/>
      <c r="AT53" s="26"/>
      <c r="AU53" s="26">
        <v>9948</v>
      </c>
      <c r="AV53" s="26"/>
      <c r="AW53" s="71" t="s">
        <v>216</v>
      </c>
      <c r="AX53" s="71" t="s">
        <v>31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</row>
    <row r="54" spans="3:110" s="23" customFormat="1" ht="12.75">
      <c r="C54" s="23" t="s">
        <v>134</v>
      </c>
      <c r="Y54" s="58">
        <f>SUM(Y48:Y52)</f>
        <v>-317433</v>
      </c>
      <c r="Z54" s="26"/>
      <c r="AA54" s="58">
        <f>SUM(AA48:AA52)</f>
        <v>939348</v>
      </c>
      <c r="AB54" s="26"/>
      <c r="AC54" s="58">
        <f>SUM(AC48:AC52)</f>
        <v>0</v>
      </c>
      <c r="AD54" s="26"/>
      <c r="AE54" s="58">
        <f>SUM(AE48:AE52)</f>
        <v>-7741</v>
      </c>
      <c r="AF54" s="26"/>
      <c r="AG54" s="58">
        <f>SUM(AG48:AG51)</f>
        <v>-32131</v>
      </c>
      <c r="AH54" s="26"/>
      <c r="AI54" s="58">
        <f>SUM(AI48:AI51)</f>
        <v>0</v>
      </c>
      <c r="AJ54" s="26"/>
      <c r="AK54" s="46"/>
      <c r="AL54" s="26"/>
      <c r="AM54" s="58">
        <f>SUM(AM48:AM52)</f>
        <v>582043</v>
      </c>
      <c r="AN54" s="26"/>
      <c r="AO54" s="26"/>
      <c r="AP54" s="26"/>
      <c r="AQ54" s="58">
        <f>SUM(AQ48:AQ52)</f>
        <v>-140576</v>
      </c>
      <c r="AR54" s="58">
        <f>SUM(AR48:AR53)</f>
        <v>-537</v>
      </c>
      <c r="AS54" s="26"/>
      <c r="AT54" s="26"/>
      <c r="AU54" s="58">
        <f>SUM(AU48:AU53)</f>
        <v>8416</v>
      </c>
      <c r="AV54" s="26"/>
      <c r="AW54" s="26"/>
      <c r="AX54" s="90" t="s">
        <v>31</v>
      </c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</row>
    <row r="55" spans="25:110" s="23" customFormat="1" ht="12.75">
      <c r="Y55" s="31"/>
      <c r="Z55" s="26"/>
      <c r="AA55" s="31"/>
      <c r="AB55" s="26"/>
      <c r="AC55" s="31"/>
      <c r="AD55" s="26"/>
      <c r="AE55" s="31"/>
      <c r="AF55" s="26"/>
      <c r="AG55" s="31"/>
      <c r="AH55" s="26"/>
      <c r="AI55" s="31"/>
      <c r="AJ55" s="26"/>
      <c r="AK55" s="46"/>
      <c r="AL55" s="26"/>
      <c r="AM55" s="31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</row>
    <row r="56" spans="2:110" s="23" customFormat="1" ht="12.75">
      <c r="B56" s="23" t="s">
        <v>135</v>
      </c>
      <c r="Y56" s="31">
        <f>+Y38+Y45+Y54</f>
        <v>-66388</v>
      </c>
      <c r="Z56" s="26"/>
      <c r="AA56" s="31">
        <f>+AA38+AA45+AA54</f>
        <v>266326</v>
      </c>
      <c r="AB56" s="26"/>
      <c r="AC56" s="31">
        <f>+AC38+AC45+AC54</f>
        <v>92919</v>
      </c>
      <c r="AD56" s="26"/>
      <c r="AE56" s="31">
        <f>+AE38+AE45+AE54</f>
        <v>18898</v>
      </c>
      <c r="AF56" s="26"/>
      <c r="AG56" s="31">
        <f>+AG38+AG45+AG54</f>
        <v>64930</v>
      </c>
      <c r="AH56" s="26"/>
      <c r="AI56" s="31">
        <f>+AI38+AI45+AI54</f>
        <v>0</v>
      </c>
      <c r="AJ56" s="26"/>
      <c r="AK56" s="46"/>
      <c r="AL56" s="26"/>
      <c r="AM56" s="31">
        <f>+AM38+AM45+AM54</f>
        <v>376685</v>
      </c>
      <c r="AN56" s="26"/>
      <c r="AO56" s="26"/>
      <c r="AP56" s="26"/>
      <c r="AQ56" s="31">
        <f>+AQ38+AQ45+AQ54</f>
        <v>-748533</v>
      </c>
      <c r="AR56" s="40">
        <f>+AR38+AR45+AR54</f>
        <v>-1876</v>
      </c>
      <c r="AS56" s="26"/>
      <c r="AT56" s="26"/>
      <c r="AU56" s="40">
        <f>+AU38+AU45+AU54</f>
        <v>5594.33</v>
      </c>
      <c r="AV56" s="26"/>
      <c r="AW56" s="26"/>
      <c r="AX56" s="71" t="s">
        <v>31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</row>
    <row r="57" spans="2:110" s="23" customFormat="1" ht="12.75">
      <c r="B57" s="23" t="s">
        <v>136</v>
      </c>
      <c r="Y57" s="31">
        <v>632</v>
      </c>
      <c r="Z57" s="26"/>
      <c r="AA57" s="31">
        <v>-129968</v>
      </c>
      <c r="AB57" s="26"/>
      <c r="AC57" s="31">
        <v>51451</v>
      </c>
      <c r="AD57" s="26"/>
      <c r="AE57" s="31">
        <v>10756</v>
      </c>
      <c r="AF57" s="26"/>
      <c r="AG57" s="31">
        <v>18245</v>
      </c>
      <c r="AH57" s="26"/>
      <c r="AI57" s="31">
        <v>2</v>
      </c>
      <c r="AJ57" s="26"/>
      <c r="AK57" s="46"/>
      <c r="AL57" s="26"/>
      <c r="AM57" s="26">
        <f>SUM(Y57:AI57)+AK57</f>
        <v>-48882</v>
      </c>
      <c r="AN57" s="26"/>
      <c r="AO57" s="26"/>
      <c r="AP57" s="26"/>
      <c r="AQ57" s="26">
        <f>3317880+209629-1110238-96267</f>
        <v>2321004</v>
      </c>
      <c r="AR57" s="26">
        <v>2790</v>
      </c>
      <c r="AS57" s="26"/>
      <c r="AT57" s="26"/>
      <c r="AU57" s="26">
        <v>2790</v>
      </c>
      <c r="AV57" s="26"/>
      <c r="AW57" s="71" t="s">
        <v>217</v>
      </c>
      <c r="AX57" s="71" t="s">
        <v>31</v>
      </c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</row>
    <row r="58" spans="2:110" s="23" customFormat="1" ht="13.5" thickBot="1">
      <c r="B58" s="23" t="s">
        <v>154</v>
      </c>
      <c r="Y58" s="39">
        <f>SUM(Y56:Y57)</f>
        <v>-65756</v>
      </c>
      <c r="Z58" s="26"/>
      <c r="AA58" s="39">
        <f>SUM(AA56:AA57)</f>
        <v>136358</v>
      </c>
      <c r="AB58" s="26"/>
      <c r="AC58" s="39">
        <f>SUM(AC56:AC57)</f>
        <v>144370</v>
      </c>
      <c r="AD58" s="26"/>
      <c r="AE58" s="39">
        <f>SUM(AE56:AE57)</f>
        <v>29654</v>
      </c>
      <c r="AF58" s="26"/>
      <c r="AG58" s="39">
        <f>SUM(AG56:AG57)</f>
        <v>83175</v>
      </c>
      <c r="AH58" s="26"/>
      <c r="AI58" s="39">
        <f>SUM(AI56:AI57)</f>
        <v>2</v>
      </c>
      <c r="AJ58" s="26"/>
      <c r="AK58" s="46"/>
      <c r="AL58" s="26"/>
      <c r="AM58" s="39">
        <f>SUM(AM56:AM57)</f>
        <v>327803</v>
      </c>
      <c r="AN58" s="26"/>
      <c r="AO58" s="26"/>
      <c r="AP58" s="26"/>
      <c r="AQ58" s="39">
        <f>SUM(AQ56:AQ57)</f>
        <v>1572471</v>
      </c>
      <c r="AR58" s="60">
        <f>SUM(AR56:AR57)</f>
        <v>914</v>
      </c>
      <c r="AS58" s="26"/>
      <c r="AT58" s="26"/>
      <c r="AU58" s="60">
        <f>SUM(AU56:AU57)</f>
        <v>8384.33</v>
      </c>
      <c r="AV58" s="26"/>
      <c r="AW58" s="26"/>
      <c r="AX58" s="82" t="s">
        <v>31</v>
      </c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</row>
    <row r="59" spans="24:110" s="23" customFormat="1" ht="12.75">
      <c r="X59" s="61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4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</row>
    <row r="60" spans="2:110" s="23" customFormat="1" ht="12.75">
      <c r="B60" s="2" t="s">
        <v>137</v>
      </c>
      <c r="X60" s="61">
        <v>0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4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</row>
    <row r="61" spans="3:110" s="23" customFormat="1" ht="12.75">
      <c r="C61" s="23" t="s">
        <v>70</v>
      </c>
      <c r="X61" s="61"/>
      <c r="Y61" s="26">
        <v>1999980</v>
      </c>
      <c r="Z61" s="26"/>
      <c r="AA61" s="26">
        <v>0</v>
      </c>
      <c r="AB61" s="26"/>
      <c r="AC61" s="26">
        <v>0</v>
      </c>
      <c r="AD61" s="26"/>
      <c r="AE61" s="26">
        <v>0</v>
      </c>
      <c r="AF61" s="26"/>
      <c r="AG61" s="26">
        <v>0</v>
      </c>
      <c r="AH61" s="26"/>
      <c r="AI61" s="26">
        <v>0</v>
      </c>
      <c r="AJ61" s="26"/>
      <c r="AK61" s="46"/>
      <c r="AL61" s="26"/>
      <c r="AM61" s="26">
        <f>SUM(Y61:AI61)+AK61</f>
        <v>1999980</v>
      </c>
      <c r="AN61" s="26"/>
      <c r="AO61" s="26"/>
      <c r="AP61" s="26"/>
      <c r="AQ61" s="26">
        <v>2159883</v>
      </c>
      <c r="AR61" s="26">
        <v>1500</v>
      </c>
      <c r="AS61" s="26"/>
      <c r="AT61" s="26"/>
      <c r="AU61" s="26">
        <v>8650</v>
      </c>
      <c r="AV61" s="26"/>
      <c r="AW61" s="71" t="s">
        <v>200</v>
      </c>
      <c r="AX61" s="71" t="s">
        <v>31</v>
      </c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</row>
    <row r="62" spans="3:110" s="23" customFormat="1" ht="12.75">
      <c r="C62" s="23" t="s">
        <v>71</v>
      </c>
      <c r="X62" s="61">
        <v>0</v>
      </c>
      <c r="Y62" s="26">
        <v>12244</v>
      </c>
      <c r="Z62" s="26"/>
      <c r="AA62" s="26">
        <v>136358</v>
      </c>
      <c r="AB62" s="26"/>
      <c r="AC62" s="26">
        <v>144370</v>
      </c>
      <c r="AD62" s="26"/>
      <c r="AE62" s="26">
        <v>29654</v>
      </c>
      <c r="AF62" s="26"/>
      <c r="AG62" s="26">
        <v>83175</v>
      </c>
      <c r="AH62" s="26"/>
      <c r="AI62" s="26">
        <v>2</v>
      </c>
      <c r="AJ62" s="26"/>
      <c r="AK62" s="46"/>
      <c r="AL62" s="26"/>
      <c r="AM62" s="26">
        <f>SUM(Y62:AI62)+AK62</f>
        <v>405803</v>
      </c>
      <c r="AN62" s="26"/>
      <c r="AO62" s="26"/>
      <c r="AP62" s="26"/>
      <c r="AQ62" s="26">
        <f>298693-1480201-252585</f>
        <v>-1434093</v>
      </c>
      <c r="AR62" s="26">
        <v>-586</v>
      </c>
      <c r="AS62" s="26"/>
      <c r="AT62" s="26"/>
      <c r="AU62" s="26">
        <v>-266</v>
      </c>
      <c r="AV62" s="26"/>
      <c r="AW62" s="26"/>
      <c r="AX62" s="71" t="s">
        <v>31</v>
      </c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</row>
    <row r="63" spans="25:110" s="23" customFormat="1" ht="13.5" thickBot="1">
      <c r="Y63" s="39">
        <f>SUM(Y61:Y62)</f>
        <v>2012224</v>
      </c>
      <c r="Z63" s="26"/>
      <c r="AA63" s="39">
        <f>SUM(AA61:AA62)</f>
        <v>136358</v>
      </c>
      <c r="AB63" s="26"/>
      <c r="AC63" s="39">
        <f>SUM(AC61:AC62)</f>
        <v>144370</v>
      </c>
      <c r="AD63" s="26"/>
      <c r="AE63" s="39">
        <f>SUM(AE61:AE62)</f>
        <v>29654</v>
      </c>
      <c r="AF63" s="26"/>
      <c r="AG63" s="39">
        <f>SUM(AG61:AG62)</f>
        <v>83175</v>
      </c>
      <c r="AH63" s="26"/>
      <c r="AI63" s="39">
        <f>SUM(AI61:AI62)</f>
        <v>2</v>
      </c>
      <c r="AJ63" s="26"/>
      <c r="AK63" s="46"/>
      <c r="AL63" s="26"/>
      <c r="AM63" s="39">
        <f>SUM(AM61:AM62)</f>
        <v>2405783</v>
      </c>
      <c r="AN63" s="26"/>
      <c r="AO63" s="26"/>
      <c r="AP63" s="26"/>
      <c r="AQ63" s="39">
        <f>SUM(AQ61:AQ62)</f>
        <v>725790</v>
      </c>
      <c r="AR63" s="60">
        <f>SUM(AR61:AR62)</f>
        <v>914</v>
      </c>
      <c r="AS63" s="26"/>
      <c r="AT63" s="26"/>
      <c r="AU63" s="60">
        <f>SUM(AU61:AU62)</f>
        <v>8384</v>
      </c>
      <c r="AV63" s="26"/>
      <c r="AW63" s="26"/>
      <c r="AX63" s="82" t="s">
        <v>31</v>
      </c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</row>
    <row r="64" spans="2:110" s="23" customFormat="1" ht="12.75">
      <c r="B64" s="23" t="s">
        <v>219</v>
      </c>
      <c r="Y64" s="26">
        <f>+Y58-Y63</f>
        <v>-2077980</v>
      </c>
      <c r="Z64" s="26"/>
      <c r="AA64" s="26">
        <f>+AA58-AA63</f>
        <v>0</v>
      </c>
      <c r="AB64" s="26"/>
      <c r="AC64" s="26">
        <f>+AC58-AC63</f>
        <v>0</v>
      </c>
      <c r="AD64" s="26"/>
      <c r="AE64" s="26">
        <f>+AE58-AE63</f>
        <v>0</v>
      </c>
      <c r="AF64" s="26"/>
      <c r="AG64" s="26">
        <f>+AG58-AG63</f>
        <v>0</v>
      </c>
      <c r="AH64" s="26"/>
      <c r="AI64" s="26">
        <f>+AI58-AI63</f>
        <v>0</v>
      </c>
      <c r="AJ64" s="26"/>
      <c r="AK64" s="46"/>
      <c r="AL64" s="26"/>
      <c r="AM64" s="46">
        <f>+AM58-AM63</f>
        <v>-2077980</v>
      </c>
      <c r="AN64" s="26"/>
      <c r="AO64" s="26"/>
      <c r="AP64" s="26"/>
      <c r="AQ64" s="46">
        <f>+AQ58-AQ63</f>
        <v>846681</v>
      </c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</row>
    <row r="65" spans="25:110" s="23" customFormat="1" ht="12.75"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46"/>
      <c r="AL65" s="26"/>
      <c r="AM65" s="26"/>
      <c r="AN65" s="26"/>
      <c r="AO65" s="26"/>
      <c r="AP65" s="26"/>
      <c r="AQ65" s="26"/>
      <c r="AR65" s="26"/>
      <c r="AS65" s="26"/>
      <c r="AT65" s="26"/>
      <c r="AU65" s="26">
        <f>+AU58-AU63</f>
        <v>0.32999999999992724</v>
      </c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</row>
    <row r="66" spans="2:110" s="23" customFormat="1" ht="12.75" hidden="1">
      <c r="B66" s="28" t="s">
        <v>138</v>
      </c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4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</row>
    <row r="67" spans="3:110" s="23" customFormat="1" ht="12.75" hidden="1">
      <c r="C67" s="23" t="s">
        <v>139</v>
      </c>
      <c r="Y67" s="26">
        <v>0</v>
      </c>
      <c r="Z67" s="26"/>
      <c r="AA67" s="26">
        <v>92401</v>
      </c>
      <c r="AB67" s="26"/>
      <c r="AC67" s="26">
        <v>4563</v>
      </c>
      <c r="AD67" s="26"/>
      <c r="AE67" s="26">
        <v>1360</v>
      </c>
      <c r="AF67" s="26"/>
      <c r="AG67" s="26">
        <v>10496</v>
      </c>
      <c r="AH67" s="26"/>
      <c r="AI67" s="26">
        <v>0</v>
      </c>
      <c r="AJ67" s="26"/>
      <c r="AK67" s="46"/>
      <c r="AL67" s="26"/>
      <c r="AM67" s="26">
        <f>SUM(Y67:AI67)+AK67</f>
        <v>108820</v>
      </c>
      <c r="AN67" s="26"/>
      <c r="AO67" s="26"/>
      <c r="AP67" s="26"/>
      <c r="AQ67" s="26">
        <v>0</v>
      </c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</row>
    <row r="68" spans="3:110" s="23" customFormat="1" ht="12.75" hidden="1">
      <c r="C68" s="23" t="s">
        <v>140</v>
      </c>
      <c r="Y68" s="26">
        <v>0</v>
      </c>
      <c r="Z68" s="26"/>
      <c r="AA68" s="26">
        <v>-55000</v>
      </c>
      <c r="AB68" s="26"/>
      <c r="AC68" s="26">
        <v>0</v>
      </c>
      <c r="AD68" s="26"/>
      <c r="AE68" s="26">
        <v>0</v>
      </c>
      <c r="AF68" s="26"/>
      <c r="AG68" s="26">
        <v>0</v>
      </c>
      <c r="AH68" s="26"/>
      <c r="AI68" s="26">
        <v>0</v>
      </c>
      <c r="AJ68" s="26"/>
      <c r="AK68" s="46"/>
      <c r="AL68" s="26"/>
      <c r="AM68" s="26">
        <f>SUM(Y68:AI68)+AK68</f>
        <v>-55000</v>
      </c>
      <c r="AN68" s="26"/>
      <c r="AO68" s="26"/>
      <c r="AP68" s="26"/>
      <c r="AQ68" s="26">
        <v>0</v>
      </c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</row>
    <row r="69" spans="3:110" s="23" customFormat="1" ht="13.5" hidden="1" thickBot="1">
      <c r="C69" s="23" t="s">
        <v>141</v>
      </c>
      <c r="Y69" s="39">
        <f>SUM(Y67:Y68)</f>
        <v>0</v>
      </c>
      <c r="Z69" s="26"/>
      <c r="AA69" s="39">
        <f>SUM(AA67:AA68)</f>
        <v>37401</v>
      </c>
      <c r="AB69" s="26"/>
      <c r="AC69" s="39">
        <f>SUM(AC67:AC68)</f>
        <v>4563</v>
      </c>
      <c r="AD69" s="26"/>
      <c r="AE69" s="39">
        <f>SUM(AE67:AE68)</f>
        <v>1360</v>
      </c>
      <c r="AF69" s="26"/>
      <c r="AG69" s="39">
        <f>SUM(AG67:AG68)</f>
        <v>10496</v>
      </c>
      <c r="AH69" s="26"/>
      <c r="AI69" s="39">
        <f>SUM(AI67:AI68)</f>
        <v>0</v>
      </c>
      <c r="AJ69" s="26"/>
      <c r="AK69" s="46"/>
      <c r="AL69" s="26"/>
      <c r="AM69" s="39">
        <f>SUM(AM67:AM68)</f>
        <v>53820</v>
      </c>
      <c r="AN69" s="26"/>
      <c r="AO69" s="26"/>
      <c r="AP69" s="26"/>
      <c r="AQ69" s="26">
        <v>0</v>
      </c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</row>
    <row r="70" spans="25:110" s="23" customFormat="1" ht="12.75" customHeight="1" hidden="1"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4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</row>
    <row r="71" spans="2:110" s="23" customFormat="1" ht="12.75" hidden="1">
      <c r="B71" s="28" t="s">
        <v>142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4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</row>
    <row r="72" spans="3:110" s="23" customFormat="1" ht="12.75" hidden="1">
      <c r="C72" s="23" t="s">
        <v>143</v>
      </c>
      <c r="Y72" s="26">
        <v>490000</v>
      </c>
      <c r="Z72" s="26"/>
      <c r="AA72" s="26">
        <v>0</v>
      </c>
      <c r="AB72" s="26"/>
      <c r="AC72" s="26">
        <v>0</v>
      </c>
      <c r="AD72" s="26"/>
      <c r="AE72" s="26">
        <v>0</v>
      </c>
      <c r="AF72" s="26"/>
      <c r="AG72" s="26">
        <v>0</v>
      </c>
      <c r="AH72" s="26"/>
      <c r="AI72" s="26">
        <v>0</v>
      </c>
      <c r="AJ72" s="26"/>
      <c r="AK72" s="46"/>
      <c r="AL72" s="26"/>
      <c r="AM72" s="26">
        <f>SUM(Y72:AI72)+AK72</f>
        <v>490000</v>
      </c>
      <c r="AN72" s="26"/>
      <c r="AO72" s="26"/>
      <c r="AP72" s="26"/>
      <c r="AQ72" s="26">
        <f>2116000-20000</f>
        <v>2096000</v>
      </c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</row>
    <row r="73" spans="3:110" s="23" customFormat="1" ht="12.75" hidden="1">
      <c r="C73" s="23" t="s">
        <v>144</v>
      </c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46"/>
      <c r="AL73" s="26"/>
      <c r="AM73" s="26"/>
      <c r="AN73" s="26"/>
      <c r="AO73" s="26"/>
      <c r="AP73" s="26"/>
      <c r="AQ73" s="26">
        <v>-20000</v>
      </c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</row>
    <row r="74" spans="3:110" s="23" customFormat="1" ht="12.75" hidden="1">
      <c r="C74" s="23" t="s">
        <v>144</v>
      </c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4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</row>
    <row r="75" spans="3:110" s="23" customFormat="1" ht="12.75" hidden="1">
      <c r="C75" s="23" t="s">
        <v>144</v>
      </c>
      <c r="Y75" s="26">
        <v>-490000</v>
      </c>
      <c r="Z75" s="26"/>
      <c r="AA75" s="26">
        <v>0</v>
      </c>
      <c r="AB75" s="26"/>
      <c r="AC75" s="26">
        <v>0</v>
      </c>
      <c r="AD75" s="26"/>
      <c r="AE75" s="26">
        <v>0</v>
      </c>
      <c r="AF75" s="26"/>
      <c r="AG75" s="26">
        <v>0</v>
      </c>
      <c r="AH75" s="26"/>
      <c r="AI75" s="26">
        <v>0</v>
      </c>
      <c r="AJ75" s="26"/>
      <c r="AK75" s="46"/>
      <c r="AL75" s="26"/>
      <c r="AM75" s="26">
        <f>SUM(Y75:AK75)</f>
        <v>-490000</v>
      </c>
      <c r="AN75" s="26"/>
      <c r="AO75" s="26"/>
      <c r="AP75" s="26"/>
      <c r="AQ75" s="26">
        <v>0</v>
      </c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</row>
    <row r="76" spans="3:110" s="23" customFormat="1" ht="13.5" hidden="1" thickBot="1">
      <c r="C76" s="23" t="s">
        <v>141</v>
      </c>
      <c r="Y76" s="39">
        <f>SUM(Y72:Y75)</f>
        <v>0</v>
      </c>
      <c r="Z76" s="26"/>
      <c r="AA76" s="39">
        <f>SUM(AA72:AA75)</f>
        <v>0</v>
      </c>
      <c r="AB76" s="26"/>
      <c r="AC76" s="39">
        <f>SUM(AC72:AC75)</f>
        <v>0</v>
      </c>
      <c r="AD76" s="26"/>
      <c r="AE76" s="39">
        <f>SUM(AE72:AE75)</f>
        <v>0</v>
      </c>
      <c r="AF76" s="26"/>
      <c r="AG76" s="39">
        <f>SUM(AG72:AG75)</f>
        <v>0</v>
      </c>
      <c r="AH76" s="26"/>
      <c r="AI76" s="39">
        <f>SUM(AI72:AI75)</f>
        <v>0</v>
      </c>
      <c r="AJ76" s="26"/>
      <c r="AL76" s="26"/>
      <c r="AM76" s="39">
        <f>SUM(AM72:AM75)</f>
        <v>0</v>
      </c>
      <c r="AN76" s="26"/>
      <c r="AO76" s="26"/>
      <c r="AP76" s="26"/>
      <c r="AQ76" s="26">
        <v>0</v>
      </c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</row>
    <row r="77" spans="25:110" s="23" customFormat="1" ht="12.75" hidden="1"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4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</row>
    <row r="78" spans="3:110" s="23" customFormat="1" ht="12.75" hidden="1">
      <c r="C78" s="28" t="s">
        <v>145</v>
      </c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4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</row>
    <row r="79" spans="3:110" s="23" customFormat="1" ht="12.75" hidden="1">
      <c r="C79" s="23" t="s">
        <v>146</v>
      </c>
      <c r="Y79" s="26">
        <v>0</v>
      </c>
      <c r="Z79" s="26"/>
      <c r="AA79" s="26">
        <v>0</v>
      </c>
      <c r="AB79" s="26"/>
      <c r="AC79" s="26">
        <v>0</v>
      </c>
      <c r="AD79" s="26"/>
      <c r="AE79" s="26">
        <v>490000</v>
      </c>
      <c r="AF79" s="26"/>
      <c r="AG79" s="26">
        <v>0</v>
      </c>
      <c r="AH79" s="26"/>
      <c r="AI79" s="26">
        <v>0</v>
      </c>
      <c r="AJ79" s="26"/>
      <c r="AK79" s="46"/>
      <c r="AL79" s="26"/>
      <c r="AM79" s="26">
        <f>SUM(Y79:AI79)</f>
        <v>490000</v>
      </c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</row>
    <row r="80" spans="3:110" s="23" customFormat="1" ht="12.75" hidden="1">
      <c r="C80" s="23" t="s">
        <v>147</v>
      </c>
      <c r="Y80" s="26">
        <v>0</v>
      </c>
      <c r="Z80" s="26"/>
      <c r="AA80" s="26">
        <v>0</v>
      </c>
      <c r="AB80" s="26"/>
      <c r="AC80" s="26">
        <v>0</v>
      </c>
      <c r="AD80" s="26"/>
      <c r="AE80" s="26">
        <v>-490000</v>
      </c>
      <c r="AF80" s="26"/>
      <c r="AG80" s="26">
        <v>0</v>
      </c>
      <c r="AH80" s="26"/>
      <c r="AI80" s="26">
        <v>0</v>
      </c>
      <c r="AJ80" s="26"/>
      <c r="AK80" s="46"/>
      <c r="AL80" s="26"/>
      <c r="AM80" s="26">
        <f>SUM(Y80:AK80)</f>
        <v>-490000</v>
      </c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</row>
    <row r="81" spans="3:110" s="23" customFormat="1" ht="13.5" hidden="1" thickBot="1">
      <c r="C81" s="23" t="s">
        <v>141</v>
      </c>
      <c r="Y81" s="39">
        <f>SUM(Y79:Y80)</f>
        <v>0</v>
      </c>
      <c r="Z81" s="26"/>
      <c r="AA81" s="39">
        <f>SUM(AA79:AA80)</f>
        <v>0</v>
      </c>
      <c r="AB81" s="26"/>
      <c r="AC81" s="39">
        <f>SUM(AC79:AC80)</f>
        <v>0</v>
      </c>
      <c r="AD81" s="26"/>
      <c r="AE81" s="39">
        <f>SUM(AE79:AE80)</f>
        <v>0</v>
      </c>
      <c r="AF81" s="26"/>
      <c r="AG81" s="39">
        <f>SUM(AG79:AG80)</f>
        <v>0</v>
      </c>
      <c r="AH81" s="26"/>
      <c r="AI81" s="39">
        <f>SUM(AI79:AI80)</f>
        <v>0</v>
      </c>
      <c r="AJ81" s="26"/>
      <c r="AK81" s="40"/>
      <c r="AL81" s="26"/>
      <c r="AM81" s="39">
        <f>SUM(AM79:AM80)</f>
        <v>0</v>
      </c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</row>
    <row r="82" spans="25:110" s="23" customFormat="1" ht="12.75" hidden="1"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4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</row>
    <row r="83" spans="2:110" s="23" customFormat="1" ht="12.75" hidden="1">
      <c r="B83" s="23" t="s">
        <v>129</v>
      </c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4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</row>
    <row r="84" spans="3:110" s="23" customFormat="1" ht="13.5" hidden="1" thickBot="1">
      <c r="C84" s="23" t="s">
        <v>148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 t="s">
        <v>149</v>
      </c>
      <c r="AJ84" s="26"/>
      <c r="AK84" s="60">
        <f>SUM(AK13:AK75)</f>
        <v>0</v>
      </c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</row>
    <row r="85" spans="25:110" s="23" customFormat="1" ht="12.75" hidden="1"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4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</row>
    <row r="86" spans="25:110" s="23" customFormat="1" ht="12.75"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4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</row>
    <row r="87" spans="25:110" s="23" customFormat="1" ht="12.75"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4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</row>
    <row r="88" spans="25:110" s="23" customFormat="1" ht="12.75"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4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</row>
    <row r="89" spans="25:110" s="23" customFormat="1" ht="12.75"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4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</row>
    <row r="90" spans="25:110" s="23" customFormat="1" ht="12.75"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4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</row>
    <row r="91" spans="25:110" s="23" customFormat="1" ht="12.75"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4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</row>
    <row r="92" spans="25:110" s="23" customFormat="1" ht="12.75"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4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</row>
    <row r="93" spans="25:110" s="23" customFormat="1" ht="12.75"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4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</row>
    <row r="94" spans="25:110" s="23" customFormat="1" ht="12.75"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4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</row>
    <row r="95" spans="25:110" s="23" customFormat="1" ht="12.75"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4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</row>
    <row r="96" spans="25:110" s="23" customFormat="1" ht="12.75"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4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</row>
    <row r="97" spans="25:110" s="23" customFormat="1" ht="12.75"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4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</row>
    <row r="98" spans="25:110" s="23" customFormat="1" ht="12.75"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4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</row>
    <row r="99" spans="25:110" s="23" customFormat="1" ht="12.75"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4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</row>
    <row r="100" spans="25:110" s="23" customFormat="1" ht="12.75"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4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</row>
    <row r="101" spans="25:110" s="23" customFormat="1" ht="12.75"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4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</row>
    <row r="102" spans="25:110" s="23" customFormat="1" ht="12.75"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4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</row>
    <row r="103" spans="25:110" s="23" customFormat="1" ht="12.75"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4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</row>
    <row r="104" spans="25:110" s="23" customFormat="1" ht="12.75"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4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</row>
    <row r="105" spans="25:110" s="23" customFormat="1" ht="12.75"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4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</row>
    <row r="106" spans="25:110" s="23" customFormat="1" ht="12.75"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4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</row>
    <row r="107" spans="25:110" s="23" customFormat="1" ht="12.75"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4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</row>
    <row r="108" spans="25:110" s="23" customFormat="1" ht="12.75"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4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</row>
    <row r="109" spans="25:110" s="23" customFormat="1" ht="12.75"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4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</row>
    <row r="110" spans="25:110" s="23" customFormat="1" ht="12.75"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4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</row>
    <row r="111" spans="25:110" s="23" customFormat="1" ht="12.75"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4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</row>
    <row r="112" spans="25:110" s="23" customFormat="1" ht="12.75"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4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</row>
    <row r="113" spans="25:110" s="23" customFormat="1" ht="12.75"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4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</row>
    <row r="114" spans="25:110" s="23" customFormat="1" ht="12.75"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4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</row>
    <row r="115" spans="25:110" s="23" customFormat="1" ht="12.75"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4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</row>
    <row r="116" spans="25:110" s="23" customFormat="1" ht="12.75"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4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</row>
    <row r="117" spans="25:110" s="23" customFormat="1" ht="12.75"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4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</row>
    <row r="118" spans="25:110" s="23" customFormat="1" ht="12.75"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4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</row>
    <row r="119" spans="25:110" s="23" customFormat="1" ht="12.75"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4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</row>
    <row r="120" spans="25:110" s="23" customFormat="1" ht="12.75"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4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</row>
    <row r="121" spans="25:110" s="23" customFormat="1" ht="12.75"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4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</row>
    <row r="122" spans="25:110" s="23" customFormat="1" ht="12.75"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4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</row>
    <row r="123" spans="25:110" s="23" customFormat="1" ht="12.75"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4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</row>
    <row r="124" spans="25:110" s="23" customFormat="1" ht="12.75"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4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</row>
    <row r="125" spans="25:110" s="23" customFormat="1" ht="12.75"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4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</row>
    <row r="126" spans="25:110" s="23" customFormat="1" ht="12.75"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4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</row>
    <row r="127" spans="25:110" s="23" customFormat="1" ht="12.75"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4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</row>
    <row r="128" spans="25:110" s="23" customFormat="1" ht="12.75"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4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</row>
    <row r="129" spans="25:110" s="23" customFormat="1" ht="12.75"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4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</row>
    <row r="130" spans="25:110" s="23" customFormat="1" ht="12.75"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4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</row>
    <row r="131" spans="25:110" s="23" customFormat="1" ht="12.75"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4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</row>
    <row r="132" spans="25:110" s="23" customFormat="1" ht="12.75"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4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</row>
    <row r="133" spans="25:110" s="23" customFormat="1" ht="12.75"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4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</row>
    <row r="134" spans="25:110" s="23" customFormat="1" ht="12.75"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4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</row>
    <row r="135" spans="25:110" s="23" customFormat="1" ht="12.75"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4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</row>
    <row r="136" spans="25:110" s="23" customFormat="1" ht="12.75"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4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</row>
    <row r="137" spans="25:110" s="23" customFormat="1" ht="12.75"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4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</row>
    <row r="138" spans="25:110" s="23" customFormat="1" ht="12.75"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4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</row>
    <row r="139" spans="25:110" s="23" customFormat="1" ht="12.75"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4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</row>
    <row r="140" spans="25:110" s="23" customFormat="1" ht="12.75"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4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</row>
    <row r="141" spans="25:110" s="23" customFormat="1" ht="12.75"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4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</row>
    <row r="142" spans="25:110" s="23" customFormat="1" ht="12.75"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4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</row>
    <row r="143" spans="25:110" s="23" customFormat="1" ht="12.75"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4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</row>
    <row r="144" spans="25:110" s="23" customFormat="1" ht="12.75"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4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</row>
    <row r="145" spans="25:110" s="23" customFormat="1" ht="12.75"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4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</row>
    <row r="146" spans="25:110" s="23" customFormat="1" ht="12.75"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4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</row>
    <row r="147" spans="25:110" s="23" customFormat="1" ht="12.75"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4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</row>
    <row r="148" spans="25:110" s="23" customFormat="1" ht="12.75"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4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</row>
    <row r="149" spans="25:110" s="23" customFormat="1" ht="12.75"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4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</row>
    <row r="150" spans="25:110" s="23" customFormat="1" ht="12.75"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4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</row>
    <row r="151" spans="25:110" s="23" customFormat="1" ht="12.75"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4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</row>
    <row r="152" spans="25:110" s="23" customFormat="1" ht="12.75"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4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</row>
    <row r="153" spans="25:110" s="23" customFormat="1" ht="12.75"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4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</row>
    <row r="154" spans="25:110" s="23" customFormat="1" ht="12.75"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4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</row>
    <row r="155" spans="25:110" s="23" customFormat="1" ht="12.75"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4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</row>
    <row r="156" spans="25:110" s="23" customFormat="1" ht="12.75"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4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</row>
    <row r="157" spans="25:110" s="23" customFormat="1" ht="12.75"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4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</row>
    <row r="158" spans="25:110" s="23" customFormat="1" ht="12.75"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4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</row>
    <row r="159" spans="25:110" s="23" customFormat="1" ht="12.75"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4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</row>
    <row r="160" spans="25:110" s="23" customFormat="1" ht="12.75"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4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</row>
    <row r="161" spans="25:110" s="23" customFormat="1" ht="12.75"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4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</row>
    <row r="162" spans="25:110" s="23" customFormat="1" ht="12.75"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4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</row>
    <row r="163" spans="25:110" s="23" customFormat="1" ht="12.75"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4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</row>
    <row r="164" spans="25:110" s="23" customFormat="1" ht="12.75"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4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</row>
    <row r="165" spans="25:110" s="23" customFormat="1" ht="12.75"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4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</row>
    <row r="166" spans="25:110" s="23" customFormat="1" ht="12.75"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4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</row>
    <row r="167" spans="25:110" s="23" customFormat="1" ht="12.75"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4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</row>
    <row r="168" spans="25:110" s="23" customFormat="1" ht="12.75"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4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</row>
    <row r="169" spans="25:110" s="23" customFormat="1" ht="12.75"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4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</row>
    <row r="170" spans="25:110" s="23" customFormat="1" ht="12.75"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4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</row>
    <row r="171" spans="25:110" s="23" customFormat="1" ht="12.75"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4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</row>
    <row r="172" spans="25:110" s="23" customFormat="1" ht="12.75"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4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</row>
    <row r="173" spans="25:110" s="23" customFormat="1" ht="12.75"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4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</row>
    <row r="174" spans="25:110" s="23" customFormat="1" ht="12.75"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4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</row>
    <row r="175" spans="25:110" s="23" customFormat="1" ht="12.75"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4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</row>
    <row r="176" spans="25:110" s="23" customFormat="1" ht="12.75"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4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</row>
    <row r="177" spans="25:110" s="23" customFormat="1" ht="12.75"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4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</row>
    <row r="178" spans="25:110" s="23" customFormat="1" ht="12.75"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4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</row>
    <row r="179" spans="25:110" s="23" customFormat="1" ht="12.75"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4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</row>
    <row r="180" spans="25:110" s="23" customFormat="1" ht="12.75"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4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</row>
    <row r="181" spans="25:110" s="23" customFormat="1" ht="12.75"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4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</row>
    <row r="182" spans="25:110" s="23" customFormat="1" ht="12.75"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4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</row>
    <row r="183" spans="25:110" s="23" customFormat="1" ht="12.75"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4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</row>
    <row r="184" spans="25:110" s="23" customFormat="1" ht="12.75"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4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</row>
    <row r="185" spans="25:110" s="23" customFormat="1" ht="12.75"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4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</row>
    <row r="186" spans="25:110" s="23" customFormat="1" ht="12.75"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4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</row>
    <row r="187" spans="25:110" s="23" customFormat="1" ht="12.75"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4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</row>
    <row r="188" spans="25:110" s="23" customFormat="1" ht="12.75"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4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</row>
    <row r="189" spans="25:110" s="23" customFormat="1" ht="12.75"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4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</row>
    <row r="190" spans="25:110" s="23" customFormat="1" ht="12.75"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4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</row>
    <row r="191" spans="25:110" s="23" customFormat="1" ht="12.75"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4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</row>
    <row r="192" spans="25:110" s="23" customFormat="1" ht="12.75"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4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</row>
    <row r="193" spans="25:110" s="23" customFormat="1" ht="12.75"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4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</row>
    <row r="194" spans="25:110" s="23" customFormat="1" ht="12.75"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4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</row>
    <row r="195" spans="25:110" s="23" customFormat="1" ht="12.75"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4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</row>
    <row r="196" spans="25:110" s="23" customFormat="1" ht="12.75"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4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</row>
    <row r="197" spans="25:110" s="23" customFormat="1" ht="12.75"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4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</row>
    <row r="198" spans="25:110" s="23" customFormat="1" ht="12.75"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4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</row>
    <row r="199" spans="25:110" s="23" customFormat="1" ht="12.75"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4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</row>
    <row r="200" spans="25:110" s="23" customFormat="1" ht="12.75"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4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</row>
    <row r="201" spans="25:110" s="23" customFormat="1" ht="12.75"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4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</row>
    <row r="202" spans="25:110" s="23" customFormat="1" ht="12.75"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4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</row>
    <row r="203" spans="25:110" s="23" customFormat="1" ht="12.75"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4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</row>
    <row r="204" spans="25:110" s="23" customFormat="1" ht="12.75"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4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</row>
    <row r="205" spans="25:110" s="23" customFormat="1" ht="12.75"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4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</row>
    <row r="206" spans="25:110" s="23" customFormat="1" ht="12.75"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4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</row>
    <row r="207" spans="25:110" s="23" customFormat="1" ht="12.75"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4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</row>
    <row r="208" spans="25:110" s="23" customFormat="1" ht="12.75"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4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</row>
    <row r="209" spans="25:110" s="23" customFormat="1" ht="12.75"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4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</row>
    <row r="210" spans="25:110" s="23" customFormat="1" ht="12.75"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4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</row>
    <row r="211" spans="25:110" s="23" customFormat="1" ht="12.75"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4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</row>
    <row r="212" spans="25:110" s="23" customFormat="1" ht="12.75"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4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</row>
    <row r="213" spans="25:110" s="23" customFormat="1" ht="12.75"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4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</row>
    <row r="214" spans="25:110" s="23" customFormat="1" ht="12.75"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4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</row>
    <row r="215" spans="25:110" s="23" customFormat="1" ht="12.75"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4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</row>
    <row r="216" spans="25:110" s="23" customFormat="1" ht="12.75"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4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</row>
    <row r="217" spans="25:110" s="23" customFormat="1" ht="12.75"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4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</row>
    <row r="218" spans="25:110" s="23" customFormat="1" ht="12.75"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4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</row>
    <row r="219" spans="25:110" s="23" customFormat="1" ht="12.75"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4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</row>
    <row r="220" spans="25:110" s="23" customFormat="1" ht="12.75"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4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</row>
    <row r="221" spans="25:110" s="23" customFormat="1" ht="12.75"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4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</row>
    <row r="222" spans="25:110" s="23" customFormat="1" ht="12.75"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4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</row>
    <row r="223" spans="25:110" s="23" customFormat="1" ht="12.75"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4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</row>
    <row r="224" spans="25:110" s="23" customFormat="1" ht="12.75"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4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</row>
    <row r="225" spans="25:110" s="23" customFormat="1" ht="12.75"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4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</row>
    <row r="226" spans="25:110" s="23" customFormat="1" ht="12.75"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4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</row>
    <row r="227" spans="25:110" s="23" customFormat="1" ht="12.75"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4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</row>
    <row r="228" spans="25:110" s="23" customFormat="1" ht="12.75"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4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</row>
    <row r="229" spans="25:110" s="23" customFormat="1" ht="12.75"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4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</row>
    <row r="230" spans="25:110" s="23" customFormat="1" ht="12.75"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4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</row>
    <row r="231" spans="25:110" s="23" customFormat="1" ht="12.75"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4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</row>
    <row r="232" spans="25:110" s="23" customFormat="1" ht="12.75"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4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</row>
    <row r="233" spans="25:110" s="23" customFormat="1" ht="12.75"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4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</row>
    <row r="234" spans="25:110" s="23" customFormat="1" ht="12.75"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4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</row>
    <row r="235" spans="25:110" s="23" customFormat="1" ht="12.75"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4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</row>
    <row r="236" spans="25:110" s="23" customFormat="1" ht="12.75"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4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</row>
    <row r="237" spans="25:110" s="23" customFormat="1" ht="12.75"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4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</row>
    <row r="238" spans="25:110" s="23" customFormat="1" ht="12.75"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4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</row>
    <row r="239" spans="25:110" s="23" customFormat="1" ht="12.75"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4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</row>
    <row r="240" spans="25:110" s="23" customFormat="1" ht="12.75"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4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</row>
    <row r="241" spans="25:110" s="23" customFormat="1" ht="12.75"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4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</row>
    <row r="242" spans="25:110" s="23" customFormat="1" ht="12.75"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4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</row>
    <row r="243" spans="25:110" s="23" customFormat="1" ht="12.75"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4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</row>
    <row r="244" spans="25:110" s="23" customFormat="1" ht="12.75"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4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</row>
    <row r="245" spans="25:110" s="23" customFormat="1" ht="12.75"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4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</row>
    <row r="246" spans="25:110" s="23" customFormat="1" ht="12.75"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4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</row>
    <row r="247" spans="25:110" s="23" customFormat="1" ht="12.75"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4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</row>
    <row r="248" spans="25:110" s="23" customFormat="1" ht="12.75"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4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</row>
    <row r="249" spans="25:110" s="23" customFormat="1" ht="12.75"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4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</row>
    <row r="250" spans="25:110" s="23" customFormat="1" ht="12.75"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4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</row>
    <row r="251" spans="25:110" s="23" customFormat="1" ht="12.75"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4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</row>
    <row r="252" spans="25:110" s="23" customFormat="1" ht="12.75"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4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</row>
    <row r="253" spans="25:110" s="23" customFormat="1" ht="12.75"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4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</row>
    <row r="254" spans="25:110" s="23" customFormat="1" ht="12.75"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4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</row>
    <row r="255" spans="25:110" s="23" customFormat="1" ht="12.75"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4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</row>
    <row r="256" spans="25:110" s="23" customFormat="1" ht="12.75"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4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</row>
    <row r="257" spans="25:110" s="23" customFormat="1" ht="12.75"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4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</row>
    <row r="258" spans="25:110" s="23" customFormat="1" ht="12.75"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4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</row>
    <row r="259" spans="25:110" s="23" customFormat="1" ht="12.75"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4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</row>
    <row r="260" spans="25:110" s="23" customFormat="1" ht="12.75"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4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</row>
    <row r="261" spans="25:110" s="23" customFormat="1" ht="12.75"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4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</row>
    <row r="262" spans="25:110" s="23" customFormat="1" ht="12.75"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4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</row>
    <row r="263" spans="25:110" s="23" customFormat="1" ht="12.75"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4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</row>
    <row r="264" spans="25:110" s="23" customFormat="1" ht="12.75"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4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</row>
    <row r="265" spans="25:110" s="23" customFormat="1" ht="12.75"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4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</row>
    <row r="266" spans="25:110" s="23" customFormat="1" ht="12.75"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4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</row>
    <row r="267" spans="25:110" s="23" customFormat="1" ht="12.75"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4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</row>
    <row r="268" spans="25:110" s="23" customFormat="1" ht="12.75"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4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</row>
    <row r="269" spans="25:110" s="23" customFormat="1" ht="12.75"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4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</row>
    <row r="270" spans="25:110" s="23" customFormat="1" ht="12.75"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4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</row>
    <row r="271" spans="25:110" s="23" customFormat="1" ht="12.75"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4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</row>
    <row r="272" spans="25:110" s="23" customFormat="1" ht="12.75"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4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</row>
    <row r="273" spans="25:110" s="23" customFormat="1" ht="12.75"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4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</row>
    <row r="274" spans="25:110" s="23" customFormat="1" ht="12.75"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4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</row>
    <row r="275" spans="25:110" s="23" customFormat="1" ht="12.75"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4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</row>
    <row r="276" spans="25:110" s="23" customFormat="1" ht="12.75"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4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</row>
    <row r="277" spans="25:110" s="23" customFormat="1" ht="12.75"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4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</row>
    <row r="278" spans="25:110" s="23" customFormat="1" ht="12.75"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4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</row>
    <row r="279" spans="25:110" s="23" customFormat="1" ht="12.75"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4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</row>
    <row r="280" spans="25:110" s="23" customFormat="1" ht="12.75"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4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</row>
    <row r="281" spans="25:110" s="23" customFormat="1" ht="12.75"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4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</row>
    <row r="282" spans="25:110" s="23" customFormat="1" ht="12.75"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4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</row>
    <row r="283" spans="25:110" s="23" customFormat="1" ht="12.75"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4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</row>
    <row r="284" spans="25:110" s="23" customFormat="1" ht="12.75"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4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</row>
    <row r="285" spans="25:110" s="23" customFormat="1" ht="12.75"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4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</row>
    <row r="286" spans="25:110" s="23" customFormat="1" ht="12.75"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4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</row>
    <row r="287" spans="25:110" s="23" customFormat="1" ht="12.75"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4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</row>
    <row r="288" spans="25:110" s="23" customFormat="1" ht="12.75"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4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</row>
    <row r="289" spans="25:110" s="23" customFormat="1" ht="12.75"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4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</row>
    <row r="290" spans="25:110" s="23" customFormat="1" ht="12.75"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4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</row>
    <row r="291" spans="25:110" s="23" customFormat="1" ht="12.75"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4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</row>
    <row r="292" spans="25:110" s="23" customFormat="1" ht="12.75"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4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</row>
    <row r="293" spans="25:110" s="23" customFormat="1" ht="12.75"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4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</row>
    <row r="294" spans="25:110" s="23" customFormat="1" ht="12.75"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4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</row>
    <row r="295" spans="25:110" s="23" customFormat="1" ht="12.75"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4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</row>
    <row r="296" spans="25:110" s="23" customFormat="1" ht="12.75"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4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</row>
    <row r="297" spans="25:110" s="23" customFormat="1" ht="12.75"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4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</row>
    <row r="298" spans="25:110" s="23" customFormat="1" ht="12.75"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4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</row>
    <row r="299" spans="25:110" s="23" customFormat="1" ht="12.75"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4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</row>
    <row r="300" spans="25:110" s="23" customFormat="1" ht="12.75"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4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</row>
    <row r="301" spans="25:110" s="23" customFormat="1" ht="12.75"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4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</row>
    <row r="302" spans="25:110" s="23" customFormat="1" ht="12.75"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4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</row>
    <row r="303" spans="25:110" s="23" customFormat="1" ht="12.75"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4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</row>
    <row r="304" spans="25:110" s="23" customFormat="1" ht="12.75"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4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</row>
    <row r="305" spans="25:110" s="23" customFormat="1" ht="12.75"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4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</row>
    <row r="306" spans="25:110" s="23" customFormat="1" ht="12.75"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4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</row>
    <row r="307" spans="25:110" s="23" customFormat="1" ht="12.75"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4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</row>
    <row r="308" spans="25:110" s="23" customFormat="1" ht="12.75"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4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</row>
    <row r="309" spans="25:110" s="23" customFormat="1" ht="12.75"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4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</row>
    <row r="310" spans="25:110" s="23" customFormat="1" ht="12.75"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4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</row>
    <row r="311" spans="25:110" s="23" customFormat="1" ht="12.75"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4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</row>
    <row r="312" spans="25:110" s="23" customFormat="1" ht="12.75"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4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</row>
    <row r="313" spans="25:110" s="23" customFormat="1" ht="12.75"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4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</row>
    <row r="314" spans="25:110" s="23" customFormat="1" ht="12.75"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4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</row>
    <row r="315" spans="25:110" s="23" customFormat="1" ht="12.75"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4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</row>
    <row r="316" spans="25:110" s="23" customFormat="1" ht="12.75"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4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</row>
    <row r="317" spans="25:110" s="23" customFormat="1" ht="12.75"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4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</row>
    <row r="318" spans="25:110" s="23" customFormat="1" ht="12.75"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4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</row>
    <row r="319" spans="25:110" s="23" customFormat="1" ht="12.75"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4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</row>
    <row r="320" spans="25:110" s="23" customFormat="1" ht="12.75"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4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</row>
    <row r="321" spans="25:110" s="23" customFormat="1" ht="12.75"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4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</row>
    <row r="322" spans="25:110" s="23" customFormat="1" ht="12.75"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4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</row>
    <row r="323" spans="25:110" s="23" customFormat="1" ht="12.75"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4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</row>
    <row r="324" spans="25:110" s="23" customFormat="1" ht="12.75"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4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</row>
    <row r="325" spans="25:110" s="23" customFormat="1" ht="12.75"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4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</row>
    <row r="326" spans="25:110" s="23" customFormat="1" ht="12.75"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4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</row>
    <row r="327" spans="25:110" s="23" customFormat="1" ht="12.75"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4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</row>
    <row r="328" spans="25:110" s="23" customFormat="1" ht="12.75"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4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</row>
    <row r="329" spans="25:110" s="23" customFormat="1" ht="12.75"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4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</row>
    <row r="330" spans="25:110" s="23" customFormat="1" ht="12.75"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4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</row>
    <row r="331" spans="25:110" s="23" customFormat="1" ht="12.75"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4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</row>
    <row r="332" spans="25:110" s="23" customFormat="1" ht="12.75"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4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</row>
    <row r="333" spans="25:110" s="23" customFormat="1" ht="12.75"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4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</row>
    <row r="334" spans="25:110" s="23" customFormat="1" ht="12.75"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4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</row>
    <row r="335" spans="25:110" s="23" customFormat="1" ht="12.75"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4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</row>
    <row r="336" spans="25:110" s="23" customFormat="1" ht="12.75"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4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</row>
    <row r="337" spans="25:110" s="23" customFormat="1" ht="12.75"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4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</row>
    <row r="338" spans="25:110" s="23" customFormat="1" ht="12.75"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4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</row>
    <row r="339" spans="25:110" s="23" customFormat="1" ht="12.75"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4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</row>
    <row r="340" spans="25:110" s="23" customFormat="1" ht="12.75"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4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</row>
    <row r="341" spans="25:110" s="23" customFormat="1" ht="12.75"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4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</row>
    <row r="342" spans="25:110" s="23" customFormat="1" ht="12.75"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4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</row>
  </sheetData>
  <mergeCells count="7">
    <mergeCell ref="A6:AX6"/>
    <mergeCell ref="AK8:AK11"/>
    <mergeCell ref="AA9:AI9"/>
    <mergeCell ref="A1:AX1"/>
    <mergeCell ref="A2:AX2"/>
    <mergeCell ref="A3:AX3"/>
    <mergeCell ref="A5:AX5"/>
  </mergeCells>
  <printOptions/>
  <pageMargins left="0.75" right="0.24" top="0.58" bottom="0.5" header="0.32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B28">
      <pane xSplit="8" topLeftCell="J2" activePane="topRight" state="frozen"/>
      <selection pane="topLeft" activeCell="B8" sqref="B8"/>
      <selection pane="topRight" activeCell="E37" sqref="E37"/>
    </sheetView>
  </sheetViews>
  <sheetFormatPr defaultColWidth="9.140625" defaultRowHeight="12.75"/>
  <cols>
    <col min="1" max="2" width="2.7109375" style="0" customWidth="1"/>
    <col min="3" max="3" width="26.281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  <col min="10" max="10" width="0" style="0" hidden="1" customWidth="1"/>
  </cols>
  <sheetData>
    <row r="1" spans="1:9" ht="15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9"/>
      <c r="B2" s="104" t="s">
        <v>29</v>
      </c>
      <c r="C2" s="104"/>
      <c r="D2" s="104"/>
      <c r="E2" s="104"/>
      <c r="F2" s="104"/>
      <c r="G2" s="104"/>
      <c r="H2" s="104"/>
      <c r="I2" s="104"/>
    </row>
    <row r="3" spans="1:9" ht="12.75">
      <c r="A3" s="19"/>
      <c r="B3" s="20"/>
      <c r="C3" s="20"/>
      <c r="D3" s="20"/>
      <c r="E3" s="20"/>
      <c r="F3" s="20"/>
      <c r="G3" s="20"/>
      <c r="H3" s="20"/>
      <c r="I3" s="20"/>
    </row>
    <row r="4" spans="1:9" ht="12.75">
      <c r="A4" s="105" t="s">
        <v>169</v>
      </c>
      <c r="B4" s="105"/>
      <c r="C4" s="105"/>
      <c r="D4" s="105"/>
      <c r="E4" s="105"/>
      <c r="F4" s="105"/>
      <c r="G4" s="105"/>
      <c r="H4" s="105"/>
      <c r="I4" s="105"/>
    </row>
    <row r="5" spans="1:10" ht="12.75">
      <c r="A5" s="21"/>
      <c r="B5" s="99" t="s">
        <v>204</v>
      </c>
      <c r="C5" s="99"/>
      <c r="D5" s="99"/>
      <c r="E5" s="99"/>
      <c r="F5" s="99"/>
      <c r="G5" s="99"/>
      <c r="H5" s="99"/>
      <c r="I5" s="99"/>
      <c r="J5" s="91"/>
    </row>
    <row r="6" spans="1:9" s="2" customFormat="1" ht="12.75">
      <c r="A6" s="106" t="s">
        <v>30</v>
      </c>
      <c r="B6" s="106"/>
      <c r="C6" s="106"/>
      <c r="D6" s="106"/>
      <c r="E6" s="106"/>
      <c r="F6" s="106"/>
      <c r="G6" s="106"/>
      <c r="H6" s="106"/>
      <c r="I6" s="106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9" spans="5:9" s="2" customFormat="1" ht="12.75">
      <c r="E9" s="1" t="s">
        <v>170</v>
      </c>
      <c r="F9" s="1" t="s">
        <v>172</v>
      </c>
      <c r="G9" s="1" t="s">
        <v>176</v>
      </c>
      <c r="H9" s="1" t="s">
        <v>174</v>
      </c>
      <c r="I9" s="1"/>
    </row>
    <row r="10" spans="5:9" s="2" customFormat="1" ht="12.75">
      <c r="E10" s="1" t="s">
        <v>171</v>
      </c>
      <c r="F10" s="1" t="s">
        <v>173</v>
      </c>
      <c r="G10" s="1" t="s">
        <v>177</v>
      </c>
      <c r="H10" s="1" t="s">
        <v>175</v>
      </c>
      <c r="I10" s="1" t="s">
        <v>178</v>
      </c>
    </row>
    <row r="11" spans="5:9" s="2" customFormat="1" ht="12.75">
      <c r="E11" s="1"/>
      <c r="F11" s="1"/>
      <c r="G11" s="1"/>
      <c r="H11" s="1"/>
      <c r="I11" s="1"/>
    </row>
    <row r="12" spans="5:9" s="2" customFormat="1" ht="12.75">
      <c r="E12" s="1"/>
      <c r="F12" s="1"/>
      <c r="G12" s="1"/>
      <c r="H12" s="1"/>
      <c r="I12" s="1"/>
    </row>
    <row r="13" spans="5:9" ht="12.75">
      <c r="E13" s="69" t="s">
        <v>14</v>
      </c>
      <c r="F13" s="69" t="s">
        <v>14</v>
      </c>
      <c r="G13" s="69" t="s">
        <v>14</v>
      </c>
      <c r="H13" s="69" t="s">
        <v>14</v>
      </c>
      <c r="I13" s="69" t="s">
        <v>14</v>
      </c>
    </row>
    <row r="15" spans="2:10" ht="12.75">
      <c r="B15" t="s">
        <v>182</v>
      </c>
      <c r="E15" s="65">
        <v>415</v>
      </c>
      <c r="F15" s="65">
        <v>1933</v>
      </c>
      <c r="G15" s="65">
        <v>1782</v>
      </c>
      <c r="H15" s="65">
        <v>2602</v>
      </c>
      <c r="I15" s="73">
        <f>SUM(E15:H15)</f>
        <v>6732</v>
      </c>
      <c r="J15" t="s">
        <v>208</v>
      </c>
    </row>
    <row r="16" spans="5:9" ht="12.75">
      <c r="E16" s="65"/>
      <c r="F16" s="65"/>
      <c r="G16" s="65"/>
      <c r="H16" s="65"/>
      <c r="I16" s="73"/>
    </row>
    <row r="17" spans="5:9" ht="12.75">
      <c r="E17" s="65"/>
      <c r="F17" s="65"/>
      <c r="G17" s="65"/>
      <c r="H17" s="65"/>
      <c r="I17" s="73"/>
    </row>
    <row r="18" spans="2:9" ht="12.75">
      <c r="B18" t="s">
        <v>179</v>
      </c>
      <c r="E18" s="65">
        <v>0</v>
      </c>
      <c r="F18" s="65">
        <v>0</v>
      </c>
      <c r="G18" s="65">
        <v>0</v>
      </c>
      <c r="H18" s="65">
        <v>232</v>
      </c>
      <c r="I18" s="73">
        <f>SUM(E18:H18)</f>
        <v>232</v>
      </c>
    </row>
    <row r="19" spans="5:9" ht="12.75">
      <c r="E19" s="65"/>
      <c r="F19" s="65"/>
      <c r="G19" s="65"/>
      <c r="H19" s="65"/>
      <c r="I19" s="73"/>
    </row>
    <row r="20" spans="5:9" ht="12.75">
      <c r="E20" s="65"/>
      <c r="F20" s="65"/>
      <c r="G20" s="65"/>
      <c r="H20" s="65"/>
      <c r="I20" s="73"/>
    </row>
    <row r="21" spans="2:9" ht="12.75">
      <c r="B21" t="s">
        <v>184</v>
      </c>
      <c r="E21" s="65">
        <v>76</v>
      </c>
      <c r="F21" s="65">
        <v>1940</v>
      </c>
      <c r="G21" s="65">
        <f>1404-4</f>
        <v>1400</v>
      </c>
      <c r="H21" s="65">
        <v>0</v>
      </c>
      <c r="I21" s="73">
        <f>SUM(E21:H21)</f>
        <v>3416</v>
      </c>
    </row>
    <row r="22" spans="2:9" ht="12.75">
      <c r="B22" t="s">
        <v>185</v>
      </c>
      <c r="E22" s="65"/>
      <c r="F22" s="65"/>
      <c r="G22" s="65"/>
      <c r="H22" s="65"/>
      <c r="I22" s="65"/>
    </row>
    <row r="23" spans="5:9" ht="12.75">
      <c r="E23" s="65"/>
      <c r="F23" s="65"/>
      <c r="G23" s="65"/>
      <c r="H23" s="65"/>
      <c r="I23" s="65"/>
    </row>
    <row r="24" spans="2:9" ht="12.75">
      <c r="B24" t="s">
        <v>183</v>
      </c>
      <c r="E24" s="65">
        <v>6689</v>
      </c>
      <c r="F24" s="73">
        <v>-2441</v>
      </c>
      <c r="G24" s="65">
        <f>-3186+4</f>
        <v>-3182</v>
      </c>
      <c r="H24" s="65">
        <f>-1062-4</f>
        <v>-1066</v>
      </c>
      <c r="I24" s="65">
        <f>SUM(E24:H24)</f>
        <v>0</v>
      </c>
    </row>
    <row r="25" spans="5:9" ht="12.75">
      <c r="E25" s="65"/>
      <c r="F25" s="65"/>
      <c r="G25" s="65"/>
      <c r="H25" s="65"/>
      <c r="I25" s="65"/>
    </row>
    <row r="26" spans="2:9" ht="12.75">
      <c r="B26" t="s">
        <v>206</v>
      </c>
      <c r="E26" s="65">
        <v>2618</v>
      </c>
      <c r="F26" s="65">
        <v>7330</v>
      </c>
      <c r="G26" s="65">
        <v>0</v>
      </c>
      <c r="H26" s="65">
        <v>0</v>
      </c>
      <c r="I26" s="65">
        <f>SUM(E26:H26)</f>
        <v>9948</v>
      </c>
    </row>
    <row r="27" spans="5:9" ht="12.75">
      <c r="E27" s="65"/>
      <c r="F27" s="65"/>
      <c r="G27" s="65"/>
      <c r="H27" s="65"/>
      <c r="I27" s="65"/>
    </row>
    <row r="28" spans="2:9" ht="12.75">
      <c r="B28" t="s">
        <v>207</v>
      </c>
      <c r="E28" s="65">
        <v>0</v>
      </c>
      <c r="F28" s="65">
        <v>-1260</v>
      </c>
      <c r="G28" s="65">
        <v>0</v>
      </c>
      <c r="H28" s="65">
        <v>0</v>
      </c>
      <c r="I28" s="65">
        <f>SUM(E28:H28)</f>
        <v>-1260</v>
      </c>
    </row>
    <row r="29" spans="5:9" ht="12.75">
      <c r="E29" s="65"/>
      <c r="F29" s="65"/>
      <c r="G29" s="65"/>
      <c r="H29" s="65"/>
      <c r="I29" s="65"/>
    </row>
    <row r="30" spans="5:9" ht="12.75">
      <c r="E30" s="66"/>
      <c r="F30" s="66"/>
      <c r="G30" s="66"/>
      <c r="H30" s="66"/>
      <c r="I30" s="66"/>
    </row>
    <row r="31" spans="2:9" ht="12.75">
      <c r="B31" t="s">
        <v>205</v>
      </c>
      <c r="E31" s="67">
        <f>SUM(E15:E29)</f>
        <v>9798</v>
      </c>
      <c r="F31" s="67">
        <f>SUM(F15:F29)</f>
        <v>7502</v>
      </c>
      <c r="G31" s="67">
        <f>SUM(G15:G29)</f>
        <v>0</v>
      </c>
      <c r="H31" s="67">
        <f>SUM(H15:H29)</f>
        <v>1768</v>
      </c>
      <c r="I31" s="67">
        <f>SUM(I15:I29)</f>
        <v>19068</v>
      </c>
    </row>
    <row r="32" spans="5:9" ht="13.5" thickBot="1">
      <c r="E32" s="68"/>
      <c r="F32" s="68"/>
      <c r="G32" s="68"/>
      <c r="H32" s="68"/>
      <c r="I32" s="68"/>
    </row>
    <row r="37" ht="12.75">
      <c r="B37" t="s">
        <v>21</v>
      </c>
    </row>
    <row r="38" ht="12.75">
      <c r="B38" t="s">
        <v>180</v>
      </c>
    </row>
    <row r="39" ht="12.75">
      <c r="B39" t="s">
        <v>181</v>
      </c>
    </row>
  </sheetData>
  <mergeCells count="5">
    <mergeCell ref="A1:I1"/>
    <mergeCell ref="B2:I2"/>
    <mergeCell ref="A4:I4"/>
    <mergeCell ref="A6:I6"/>
    <mergeCell ref="B5:I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edms</cp:lastModifiedBy>
  <cp:lastPrinted>2005-08-25T09:16:04Z</cp:lastPrinted>
  <dcterms:created xsi:type="dcterms:W3CDTF">2005-05-10T02:48:58Z</dcterms:created>
  <dcterms:modified xsi:type="dcterms:W3CDTF">2005-08-25T09:16:05Z</dcterms:modified>
  <cp:category/>
  <cp:version/>
  <cp:contentType/>
  <cp:contentStatus/>
</cp:coreProperties>
</file>